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ma5551\Desktop\"/>
    </mc:Choice>
  </mc:AlternateContent>
  <xr:revisionPtr revIDLastSave="0" documentId="13_ncr:1_{B25C2AA2-2DBD-4775-892C-84AF4452549A}" xr6:coauthVersionLast="46" xr6:coauthVersionMax="46" xr10:uidLastSave="{00000000-0000-0000-0000-000000000000}"/>
  <bookViews>
    <workbookView xWindow="-120" yWindow="-120" windowWidth="29040" windowHeight="15840" firstSheet="6" activeTab="9" xr2:uid="{01A9C5B2-66CE-4999-A89F-0BE3D89522FD}"/>
  </bookViews>
  <sheets>
    <sheet name="Q1 Nbr de pers en att. éval" sheetId="1" r:id="rId1"/>
    <sheet name="Q2 Temps d'att. moyen" sheetId="2" r:id="rId2"/>
    <sheet name="Q3 Nbr pers. att. serv.1ère TSA" sheetId="3" r:id="rId3"/>
    <sheet name="Q4 Temps d'att. 1ère TSA" sheetId="4" r:id="rId4"/>
    <sheet name="Q5 Nbr pers. att. 2ième TSA" sheetId="11" r:id="rId5"/>
    <sheet name="Q6 Temps d'att. 2ième TSA" sheetId="6" r:id="rId6"/>
    <sheet name="Q7 Nbr pers. att. serv. DITSADP" sheetId="10" r:id="rId7"/>
    <sheet name="Q8 Temps att. serv. DITSADP" sheetId="8" r:id="rId8"/>
    <sheet name="Q9 Nbr pers. en att. CRDITED" sheetId="9" r:id="rId9"/>
    <sheet name="Q10 Temps att. CRDITED" sheetId="12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0" l="1"/>
  <c r="K7" i="10"/>
  <c r="C26" i="10"/>
  <c r="D22" i="11"/>
  <c r="E22" i="11"/>
  <c r="F22" i="11"/>
  <c r="G22" i="11"/>
  <c r="H22" i="11"/>
  <c r="I22" i="11"/>
  <c r="J22" i="11"/>
  <c r="K22" i="11"/>
  <c r="C22" i="11"/>
  <c r="D24" i="9"/>
  <c r="E24" i="9"/>
  <c r="F24" i="9"/>
  <c r="G24" i="9"/>
  <c r="H24" i="9"/>
  <c r="I24" i="9"/>
  <c r="J24" i="9"/>
  <c r="K24" i="9"/>
  <c r="C24" i="9"/>
  <c r="H23" i="9"/>
  <c r="H13" i="9"/>
  <c r="G23" i="9"/>
  <c r="K23" i="9" s="1"/>
  <c r="G22" i="9"/>
  <c r="G21" i="9"/>
  <c r="G20" i="9"/>
  <c r="G19" i="9"/>
  <c r="G15" i="9"/>
  <c r="G14" i="9"/>
  <c r="G13" i="9"/>
  <c r="K13" i="9" s="1"/>
  <c r="G12" i="9"/>
  <c r="G11" i="9"/>
  <c r="G10" i="9"/>
  <c r="F23" i="9"/>
  <c r="F22" i="9"/>
  <c r="F21" i="9"/>
  <c r="F20" i="9"/>
  <c r="F19" i="9"/>
  <c r="F14" i="9"/>
  <c r="F13" i="9"/>
  <c r="F12" i="9"/>
  <c r="F11" i="9"/>
  <c r="F10" i="9"/>
  <c r="F9" i="9"/>
  <c r="E23" i="9"/>
  <c r="E22" i="9"/>
  <c r="E21" i="9"/>
  <c r="E20" i="9"/>
  <c r="E19" i="9"/>
  <c r="E15" i="9"/>
  <c r="E14" i="9"/>
  <c r="E13" i="9"/>
  <c r="E12" i="9"/>
  <c r="E11" i="9"/>
  <c r="E10" i="9"/>
  <c r="K10" i="9" s="1"/>
  <c r="E9" i="9"/>
  <c r="E6" i="9"/>
  <c r="D23" i="9"/>
  <c r="D22" i="9"/>
  <c r="D21" i="9"/>
  <c r="D20" i="9"/>
  <c r="D19" i="9"/>
  <c r="D16" i="9"/>
  <c r="D15" i="9"/>
  <c r="D14" i="9"/>
  <c r="D13" i="9"/>
  <c r="D12" i="9"/>
  <c r="D11" i="9"/>
  <c r="D10" i="9"/>
  <c r="D9" i="9"/>
  <c r="D8" i="9"/>
  <c r="K8" i="9" s="1"/>
  <c r="C23" i="9"/>
  <c r="C22" i="9"/>
  <c r="C21" i="9"/>
  <c r="C20" i="9"/>
  <c r="C19" i="9"/>
  <c r="C16" i="9"/>
  <c r="C15" i="9"/>
  <c r="C14" i="9"/>
  <c r="C13" i="9"/>
  <c r="C12" i="9"/>
  <c r="C11" i="9"/>
  <c r="G8" i="9"/>
  <c r="F8" i="9"/>
  <c r="E8" i="9"/>
  <c r="D7" i="9"/>
  <c r="C7" i="9"/>
  <c r="K7" i="9" s="1"/>
  <c r="K11" i="9"/>
  <c r="K15" i="9"/>
  <c r="K17" i="9"/>
  <c r="K18" i="9"/>
  <c r="K19" i="9"/>
  <c r="K22" i="9"/>
  <c r="K6" i="9"/>
  <c r="D6" i="9"/>
  <c r="C6" i="9"/>
  <c r="D26" i="10"/>
  <c r="E26" i="10"/>
  <c r="F26" i="10"/>
  <c r="G26" i="10"/>
  <c r="H26" i="10"/>
  <c r="I26" i="10"/>
  <c r="J26" i="10"/>
  <c r="K11" i="10"/>
  <c r="K12" i="10"/>
  <c r="K15" i="10"/>
  <c r="K20" i="10"/>
  <c r="K19" i="10"/>
  <c r="K6" i="10" l="1"/>
  <c r="K21" i="9"/>
  <c r="K20" i="9"/>
  <c r="K14" i="9"/>
  <c r="K12" i="9"/>
  <c r="K9" i="9"/>
  <c r="K16" i="9"/>
  <c r="K14" i="10"/>
  <c r="K9" i="10"/>
  <c r="K18" i="10"/>
  <c r="K17" i="10"/>
  <c r="K22" i="10"/>
  <c r="K24" i="10"/>
  <c r="K25" i="10"/>
  <c r="K13" i="10"/>
  <c r="K16" i="10"/>
  <c r="K23" i="10"/>
  <c r="K21" i="10"/>
  <c r="K10" i="10"/>
  <c r="K26" i="10" l="1"/>
</calcChain>
</file>

<file path=xl/sharedStrings.xml><?xml version="1.0" encoding="utf-8"?>
<sst xmlns="http://schemas.openxmlformats.org/spreadsheetml/2006/main" count="198" uniqueCount="47">
  <si>
    <t xml:space="preserve"> </t>
  </si>
  <si>
    <t>Donnée non disponible.</t>
  </si>
  <si>
    <t>RSSS</t>
  </si>
  <si>
    <t>NomEtablissement</t>
  </si>
  <si>
    <t>0-4 ans</t>
  </si>
  <si>
    <t>5 à 11 ans</t>
  </si>
  <si>
    <t>12 à 17 ans</t>
  </si>
  <si>
    <t>18 à 21 ans</t>
  </si>
  <si>
    <t>22 à 44 ans</t>
  </si>
  <si>
    <t>45 à 64 ans</t>
  </si>
  <si>
    <t>65 à 74 ans</t>
  </si>
  <si>
    <t>75 ans et plus</t>
  </si>
  <si>
    <t>Total</t>
  </si>
  <si>
    <t>CISSS du Bas-Saint-Laurent</t>
  </si>
  <si>
    <t>CIUSSS du Saguenay–Lac-Saint-Jean</t>
  </si>
  <si>
    <t>CIUSSS de la Capitale-Nationale</t>
  </si>
  <si>
    <t>CIUSSS de la Mauricie-et-du-Centre-du-Québec</t>
  </si>
  <si>
    <t>CIUSSS de l'Estrie - CHUS</t>
  </si>
  <si>
    <t>CIUSSS de l'Ouest-de-l'Île-de-Montréal</t>
  </si>
  <si>
    <t>CIUSSS du Centre-Ouest-de-l'Île-de-Montréal</t>
  </si>
  <si>
    <t>CIUSSS du Centre-Sud-de-l'Île-de-Montréal</t>
  </si>
  <si>
    <t>CISSS de l'Outaouais</t>
  </si>
  <si>
    <t>CISSS de l'Abitibi-Témiscamingue</t>
  </si>
  <si>
    <t>CISSS de la Côte-Nord</t>
  </si>
  <si>
    <t>CISSS de la Gaspésie</t>
  </si>
  <si>
    <t>CISSS des Îles</t>
  </si>
  <si>
    <t>CISSS de Chaudière-Appalaches</t>
  </si>
  <si>
    <t>CISSS de Laval</t>
  </si>
  <si>
    <t>CISSS de Lanaudière</t>
  </si>
  <si>
    <t>CISSS des Laurentides</t>
  </si>
  <si>
    <t>CISSS de la Montérégie-Ouest</t>
  </si>
  <si>
    <t>Référence: AS-485 (2019-2020)</t>
  </si>
  <si>
    <t>CHU Sainte-Justine</t>
  </si>
  <si>
    <t>Villa Médica Inc.</t>
  </si>
  <si>
    <t>Q1: Combien y a-t-il de personnes en attente d’une évaluation et/ou d’un diagnostic de TSA par groupe d’âge et par région sociosanitaire?</t>
  </si>
  <si>
    <t>Q2: Quel est le temps d’attente moyen pour obtenir un tel service par groupe d’âge et par région sociosanitaire?</t>
  </si>
  <si>
    <t>Q3: Combien y a-t-il de personnes en attente pour obtenir des services de première ligne pour un TSA par groupe d’âge et par région sociosanitaire?</t>
  </si>
  <si>
    <t>Q4: Quel est le temps d’attente moyen pour obtenir des services de première ligne pour un TSA par groupe d’âge et par région sociosanitaire?</t>
  </si>
  <si>
    <t>DGAPA (volet I-CLSC)</t>
  </si>
  <si>
    <t>Référence: AS-485 (2019-2020), AS-484 (2019-2020)</t>
  </si>
  <si>
    <t>CISSS de la Montérégie-Centre</t>
  </si>
  <si>
    <t>Q5: Combien y a-t-il de personnes en attente pour obtenir un premier service de deuxième ligne pour un TSA par groupe d’âge et par région sociosanitaire?</t>
  </si>
  <si>
    <t>Q6: Quel est le temps d’attente moyen (en jours) pour obtenir un premier service de deuxième ligne pour un TSA (CRDITED) par groupe d’âge et par région sociosanitaire?</t>
  </si>
  <si>
    <t>Q7: Combien y a-t-il de personnes en attente d'un premier service en DI-TSA-DP (CRDP et CRDITED) par groupe d’âge et par région sociosanitaire?</t>
  </si>
  <si>
    <t>Q8: Quel est le temps d’attente moyen (en jour) pour obtenir un premier service en DI-TSA-DP (CRDP et CRDITED) par groupe d’âge et par région sociosanitaire?</t>
  </si>
  <si>
    <t>Q9: Combien y a-t-il de personnes en attente d'un premier service du CRDITED (DI-TSA) par groupe d’âge et par région sociosanitaire?</t>
  </si>
  <si>
    <t>Q10 : Quel est le temps d'attente moyen (en jours) pour obtenir un remier service du CRDITED (DI-TSA) par groupe d'âge et par région sociosanitaire?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</si>
</sst>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/>
    <xf numFmtId="1" fontId="0" fillId="0" borderId="0" xfId="0" applyNumberFormat="1"/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62E5F-9CB5-4C3F-AF36-77E007B449FF}">
  <sheetPr>
    <tabColor rgb="FFFF0000"/>
  </sheetPr>
  <dimension ref="B1:M4"/>
  <sheetViews>
    <sheetView topLeftCell="B1" workbookViewId="0">
      <selection activeCell="B1" sqref="B1:M1"/>
    </sheetView>
  </sheetViews>
  <sheetFormatPr baseColWidth="10" defaultRowHeight="15" x14ac:dyDescent="0.25"/>
  <sheetData>
    <row r="1" spans="2:13" x14ac:dyDescent="0.25">
      <c r="B1" s="9" t="s">
        <v>34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</row>
    <row r="3" spans="2:13" x14ac:dyDescent="0.25">
      <c r="B3" t="s">
        <v>1</v>
      </c>
    </row>
    <row r="4" spans="2:13" x14ac:dyDescent="0.25">
      <c r="B4" t="s">
        <v>0</v>
      </c>
    </row>
  </sheetData>
  <mergeCells count="1">
    <mergeCell ref="B1:M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3EF5F-D14B-404A-AB80-517C41FB7640}">
  <dimension ref="A1:J45"/>
  <sheetViews>
    <sheetView tabSelected="1" workbookViewId="0">
      <selection sqref="A1:J1"/>
    </sheetView>
  </sheetViews>
  <sheetFormatPr baseColWidth="10" defaultRowHeight="15" x14ac:dyDescent="0.25"/>
  <cols>
    <col min="2" max="2" width="52.7109375" customWidth="1"/>
    <col min="10" max="10" width="12.42578125" customWidth="1"/>
  </cols>
  <sheetData>
    <row r="1" spans="1:10" x14ac:dyDescent="0.25">
      <c r="A1" s="15" t="s">
        <v>46</v>
      </c>
      <c r="B1" s="16"/>
      <c r="C1" s="16"/>
      <c r="D1" s="16"/>
      <c r="E1" s="16"/>
      <c r="F1" s="16"/>
      <c r="G1" s="16"/>
      <c r="H1" s="16"/>
      <c r="I1" s="16"/>
      <c r="J1" s="17"/>
    </row>
    <row r="3" spans="1:10" x14ac:dyDescent="0.25">
      <c r="A3" s="4"/>
    </row>
    <row r="5" spans="1:10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</row>
    <row r="6" spans="1:10" x14ac:dyDescent="0.25">
      <c r="A6" s="3">
        <v>1</v>
      </c>
      <c r="B6" s="4" t="s">
        <v>13</v>
      </c>
      <c r="C6">
        <v>173.8</v>
      </c>
      <c r="D6">
        <v>75.2</v>
      </c>
      <c r="E6">
        <v>91.5</v>
      </c>
      <c r="F6">
        <v>232</v>
      </c>
      <c r="G6">
        <v>189</v>
      </c>
      <c r="H6">
        <v>23.5</v>
      </c>
      <c r="I6">
        <v>160</v>
      </c>
      <c r="J6">
        <v>0</v>
      </c>
    </row>
    <row r="7" spans="1:10" x14ac:dyDescent="0.25">
      <c r="A7" s="3">
        <v>2</v>
      </c>
      <c r="B7" s="4" t="s">
        <v>14</v>
      </c>
      <c r="C7">
        <v>116.5</v>
      </c>
      <c r="D7">
        <v>190.6</v>
      </c>
      <c r="E7">
        <v>171</v>
      </c>
      <c r="F7">
        <v>159.6</v>
      </c>
      <c r="G7">
        <v>323</v>
      </c>
      <c r="H7">
        <v>0</v>
      </c>
    </row>
    <row r="8" spans="1:10" x14ac:dyDescent="0.25">
      <c r="A8" s="3">
        <v>3</v>
      </c>
      <c r="B8" s="4" t="s">
        <v>15</v>
      </c>
      <c r="C8">
        <v>30.92</v>
      </c>
      <c r="D8">
        <v>202.8</v>
      </c>
      <c r="E8">
        <v>340.9</v>
      </c>
      <c r="F8">
        <v>151.6</v>
      </c>
      <c r="G8">
        <v>323.2</v>
      </c>
      <c r="H8">
        <v>515.70000000000005</v>
      </c>
      <c r="I8">
        <v>762.5</v>
      </c>
      <c r="J8">
        <v>295.60000000000002</v>
      </c>
    </row>
    <row r="9" spans="1:10" x14ac:dyDescent="0.25">
      <c r="A9" s="3">
        <v>4</v>
      </c>
      <c r="B9" s="4" t="s">
        <v>16</v>
      </c>
      <c r="C9">
        <v>22.9</v>
      </c>
      <c r="D9">
        <v>102.2</v>
      </c>
      <c r="E9">
        <v>94.41</v>
      </c>
      <c r="F9">
        <v>123.3</v>
      </c>
      <c r="G9">
        <v>85.33</v>
      </c>
      <c r="H9">
        <v>116.3</v>
      </c>
      <c r="I9">
        <v>91.78</v>
      </c>
      <c r="J9">
        <v>84.67</v>
      </c>
    </row>
    <row r="10" spans="1:10" x14ac:dyDescent="0.25">
      <c r="A10" s="3">
        <v>5</v>
      </c>
      <c r="B10" s="4" t="s">
        <v>17</v>
      </c>
      <c r="C10">
        <v>128</v>
      </c>
      <c r="D10">
        <v>307</v>
      </c>
      <c r="E10">
        <v>305</v>
      </c>
      <c r="F10">
        <v>299</v>
      </c>
      <c r="G10">
        <v>246</v>
      </c>
      <c r="H10">
        <v>163</v>
      </c>
    </row>
    <row r="11" spans="1:10" x14ac:dyDescent="0.25">
      <c r="A11" s="5">
        <v>6</v>
      </c>
      <c r="B11" s="4" t="s">
        <v>18</v>
      </c>
      <c r="C11">
        <v>293</v>
      </c>
      <c r="D11">
        <v>277.39999999999998</v>
      </c>
      <c r="E11">
        <v>209.3</v>
      </c>
      <c r="F11">
        <v>281.89999999999998</v>
      </c>
      <c r="G11">
        <v>505.9</v>
      </c>
      <c r="H11">
        <v>275.39999999999998</v>
      </c>
      <c r="I11">
        <v>0</v>
      </c>
      <c r="J11">
        <v>0</v>
      </c>
    </row>
    <row r="12" spans="1:10" x14ac:dyDescent="0.25">
      <c r="A12" s="5"/>
      <c r="B12" s="4" t="s">
        <v>19</v>
      </c>
      <c r="C12">
        <v>181.8</v>
      </c>
      <c r="D12">
        <v>460.2</v>
      </c>
      <c r="E12">
        <v>567</v>
      </c>
      <c r="F12">
        <v>621.79999999999995</v>
      </c>
      <c r="G12">
        <v>431.9</v>
      </c>
      <c r="H12">
        <v>649.29999999999995</v>
      </c>
      <c r="I12">
        <v>969</v>
      </c>
    </row>
    <row r="13" spans="1:10" x14ac:dyDescent="0.25">
      <c r="A13" s="3"/>
      <c r="B13" s="4" t="s">
        <v>20</v>
      </c>
      <c r="C13">
        <v>246.5</v>
      </c>
      <c r="D13">
        <v>813</v>
      </c>
      <c r="E13">
        <v>513.4</v>
      </c>
      <c r="F13">
        <v>489.6</v>
      </c>
      <c r="G13">
        <v>717.6</v>
      </c>
      <c r="H13">
        <v>548.1</v>
      </c>
      <c r="I13">
        <v>1311</v>
      </c>
      <c r="J13">
        <v>0</v>
      </c>
    </row>
    <row r="14" spans="1:10" x14ac:dyDescent="0.25">
      <c r="A14" s="3">
        <v>7</v>
      </c>
      <c r="B14" s="4" t="s">
        <v>21</v>
      </c>
      <c r="C14">
        <v>62.3</v>
      </c>
      <c r="D14">
        <v>172.3</v>
      </c>
      <c r="E14">
        <v>184.6</v>
      </c>
      <c r="F14">
        <v>134.4</v>
      </c>
      <c r="G14">
        <v>181.8</v>
      </c>
      <c r="H14">
        <v>285.2</v>
      </c>
      <c r="I14">
        <v>146</v>
      </c>
    </row>
    <row r="15" spans="1:10" x14ac:dyDescent="0.25">
      <c r="A15" s="3">
        <v>8</v>
      </c>
      <c r="B15" s="4" t="s">
        <v>22</v>
      </c>
      <c r="C15">
        <v>280</v>
      </c>
      <c r="D15">
        <v>315</v>
      </c>
      <c r="E15">
        <v>386.1</v>
      </c>
      <c r="F15">
        <v>610.4</v>
      </c>
      <c r="G15">
        <v>355</v>
      </c>
      <c r="H15">
        <v>0</v>
      </c>
      <c r="I15">
        <v>0</v>
      </c>
      <c r="J15">
        <v>0</v>
      </c>
    </row>
    <row r="16" spans="1:10" x14ac:dyDescent="0.25">
      <c r="A16" s="3">
        <v>9</v>
      </c>
      <c r="B16" s="4" t="s">
        <v>23</v>
      </c>
      <c r="C16">
        <v>187.5</v>
      </c>
      <c r="D16">
        <v>288.60000000000002</v>
      </c>
      <c r="E16">
        <v>273</v>
      </c>
      <c r="F16">
        <v>313</v>
      </c>
      <c r="G16">
        <v>209</v>
      </c>
      <c r="H16">
        <v>446.6</v>
      </c>
      <c r="J16">
        <v>23</v>
      </c>
    </row>
    <row r="17" spans="1:10" x14ac:dyDescent="0.25">
      <c r="A17" s="3">
        <v>11</v>
      </c>
      <c r="B17" s="4" t="s">
        <v>24</v>
      </c>
      <c r="C17">
        <v>20</v>
      </c>
      <c r="D17">
        <v>391.1</v>
      </c>
      <c r="E17">
        <v>71.3</v>
      </c>
      <c r="F17">
        <v>123.5</v>
      </c>
      <c r="G17">
        <v>165.8</v>
      </c>
      <c r="H17">
        <v>124.5</v>
      </c>
      <c r="I17">
        <v>183</v>
      </c>
      <c r="J17">
        <v>183</v>
      </c>
    </row>
    <row r="18" spans="1:10" x14ac:dyDescent="0.25">
      <c r="A18" s="3">
        <v>12</v>
      </c>
      <c r="B18" s="4" t="s">
        <v>26</v>
      </c>
      <c r="C18">
        <v>73.05</v>
      </c>
      <c r="D18">
        <v>177.9</v>
      </c>
      <c r="E18">
        <v>165.8</v>
      </c>
      <c r="F18">
        <v>170.6</v>
      </c>
      <c r="G18">
        <v>156.9</v>
      </c>
      <c r="H18">
        <v>174.2</v>
      </c>
      <c r="I18">
        <v>116.2</v>
      </c>
      <c r="J18">
        <v>25</v>
      </c>
    </row>
    <row r="19" spans="1:10" x14ac:dyDescent="0.25">
      <c r="A19" s="3">
        <v>13</v>
      </c>
      <c r="B19" s="4" t="s">
        <v>27</v>
      </c>
      <c r="C19">
        <v>57.5</v>
      </c>
      <c r="D19">
        <v>377.3</v>
      </c>
      <c r="E19">
        <v>266.7</v>
      </c>
      <c r="F19">
        <v>251</v>
      </c>
      <c r="G19">
        <v>686.4</v>
      </c>
      <c r="H19">
        <v>960.2</v>
      </c>
      <c r="I19">
        <v>1152</v>
      </c>
    </row>
    <row r="20" spans="1:10" x14ac:dyDescent="0.25">
      <c r="A20" s="3">
        <v>14</v>
      </c>
      <c r="B20" s="4" t="s">
        <v>28</v>
      </c>
      <c r="C20">
        <v>80</v>
      </c>
      <c r="D20">
        <v>184.1</v>
      </c>
      <c r="E20">
        <v>162.30000000000001</v>
      </c>
      <c r="F20">
        <v>172.8</v>
      </c>
      <c r="G20">
        <v>159.6</v>
      </c>
      <c r="H20">
        <v>105.3</v>
      </c>
      <c r="I20">
        <v>0</v>
      </c>
      <c r="J20">
        <v>0</v>
      </c>
    </row>
    <row r="21" spans="1:10" x14ac:dyDescent="0.25">
      <c r="A21" s="3">
        <v>15</v>
      </c>
      <c r="B21" s="4" t="s">
        <v>29</v>
      </c>
      <c r="C21">
        <v>39.299999999999997</v>
      </c>
      <c r="D21">
        <v>170</v>
      </c>
      <c r="E21">
        <v>242.6</v>
      </c>
      <c r="F21">
        <v>131.80000000000001</v>
      </c>
      <c r="G21">
        <v>698.1</v>
      </c>
      <c r="H21">
        <v>825.7</v>
      </c>
      <c r="I21">
        <v>450</v>
      </c>
      <c r="J21">
        <v>0</v>
      </c>
    </row>
    <row r="22" spans="1:10" x14ac:dyDescent="0.25">
      <c r="A22" s="3">
        <v>16</v>
      </c>
      <c r="B22" s="4" t="s">
        <v>30</v>
      </c>
      <c r="C22">
        <v>209</v>
      </c>
      <c r="D22">
        <v>433</v>
      </c>
      <c r="E22">
        <v>419</v>
      </c>
      <c r="F22">
        <v>450</v>
      </c>
      <c r="G22">
        <v>467</v>
      </c>
      <c r="H22">
        <v>1086</v>
      </c>
      <c r="I22">
        <v>239</v>
      </c>
      <c r="J22">
        <v>688</v>
      </c>
    </row>
    <row r="23" spans="1:10" x14ac:dyDescent="0.25">
      <c r="A23" s="1"/>
    </row>
    <row r="24" spans="1:10" x14ac:dyDescent="0.25">
      <c r="A24" t="s">
        <v>31</v>
      </c>
    </row>
    <row r="26" spans="1:10" x14ac:dyDescent="0.25">
      <c r="A26" s="4"/>
    </row>
    <row r="30" spans="1:10" x14ac:dyDescent="0.25">
      <c r="A30" s="3"/>
      <c r="B30" s="4"/>
    </row>
    <row r="31" spans="1:10" x14ac:dyDescent="0.25">
      <c r="A31" s="3"/>
      <c r="B31" s="4"/>
    </row>
    <row r="32" spans="1:10" x14ac:dyDescent="0.25">
      <c r="A32" s="3"/>
      <c r="B32" s="4"/>
    </row>
    <row r="33" spans="1:2" x14ac:dyDescent="0.25">
      <c r="A33" s="3"/>
      <c r="B33" s="4"/>
    </row>
    <row r="34" spans="1:2" x14ac:dyDescent="0.25">
      <c r="A34" s="5"/>
      <c r="B34" s="4"/>
    </row>
    <row r="35" spans="1:2" x14ac:dyDescent="0.25">
      <c r="A35" s="5"/>
      <c r="B35" s="4"/>
    </row>
    <row r="36" spans="1:2" x14ac:dyDescent="0.25">
      <c r="A36" s="3"/>
      <c r="B36" s="4"/>
    </row>
    <row r="37" spans="1:2" x14ac:dyDescent="0.25">
      <c r="A37" s="3"/>
      <c r="B37" s="4"/>
    </row>
    <row r="38" spans="1:2" x14ac:dyDescent="0.25">
      <c r="A38" s="3"/>
      <c r="B38" s="4"/>
    </row>
    <row r="39" spans="1:2" x14ac:dyDescent="0.25">
      <c r="A39" s="3"/>
      <c r="B39" s="4"/>
    </row>
    <row r="40" spans="1:2" x14ac:dyDescent="0.25">
      <c r="A40" s="3"/>
      <c r="B40" s="4"/>
    </row>
    <row r="41" spans="1:2" x14ac:dyDescent="0.25">
      <c r="A41" s="3"/>
      <c r="B41" s="4"/>
    </row>
    <row r="42" spans="1:2" x14ac:dyDescent="0.25">
      <c r="A42" s="3"/>
      <c r="B42" s="4"/>
    </row>
    <row r="43" spans="1:2" x14ac:dyDescent="0.25">
      <c r="A43" s="3"/>
      <c r="B43" s="4"/>
    </row>
    <row r="44" spans="1:2" x14ac:dyDescent="0.25">
      <c r="A44" s="3"/>
      <c r="B44" s="4"/>
    </row>
    <row r="45" spans="1:2" x14ac:dyDescent="0.25">
      <c r="A45" s="3"/>
      <c r="B45" s="4"/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26FEB-0192-41C1-8DA4-CB20B4C045C4}">
  <sheetPr>
    <tabColor rgb="FFFF0000"/>
  </sheetPr>
  <dimension ref="A1:K3"/>
  <sheetViews>
    <sheetView workbookViewId="0">
      <selection activeCell="E17" sqref="E17"/>
    </sheetView>
  </sheetViews>
  <sheetFormatPr baseColWidth="10" defaultRowHeight="15" x14ac:dyDescent="0.25"/>
  <sheetData>
    <row r="1" spans="1:11" x14ac:dyDescent="0.25">
      <c r="A1" s="12" t="s">
        <v>35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3" spans="1:11" x14ac:dyDescent="0.25">
      <c r="A3" t="s">
        <v>1</v>
      </c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13DEE-40BE-4207-A222-1CD4738B6328}">
  <sheetPr>
    <tabColor rgb="FFFF0000"/>
  </sheetPr>
  <dimension ref="A1:M3"/>
  <sheetViews>
    <sheetView workbookViewId="0">
      <selection sqref="A1:M1"/>
    </sheetView>
  </sheetViews>
  <sheetFormatPr baseColWidth="10" defaultRowHeight="15" x14ac:dyDescent="0.25"/>
  <sheetData>
    <row r="1" spans="1:13" x14ac:dyDescent="0.25">
      <c r="A1" s="9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</row>
    <row r="3" spans="1:13" x14ac:dyDescent="0.25">
      <c r="A3" t="s">
        <v>1</v>
      </c>
    </row>
  </sheetData>
  <mergeCells count="1">
    <mergeCell ref="A1:M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A718C-5CC5-4907-A1E7-E0E286AF2551}">
  <sheetPr>
    <tabColor rgb="FFFF0000"/>
  </sheetPr>
  <dimension ref="A1:L3"/>
  <sheetViews>
    <sheetView workbookViewId="0">
      <selection activeCell="A3" sqref="A3"/>
    </sheetView>
  </sheetViews>
  <sheetFormatPr baseColWidth="10" defaultRowHeight="15" x14ac:dyDescent="0.25"/>
  <sheetData>
    <row r="1" spans="1:12" x14ac:dyDescent="0.25">
      <c r="A1" s="9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3" spans="1:12" x14ac:dyDescent="0.25">
      <c r="A3" t="s">
        <v>38</v>
      </c>
    </row>
  </sheetData>
  <mergeCells count="1">
    <mergeCell ref="A1:L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BF18D-25A4-42FB-8F54-7ABFADE282C5}">
  <dimension ref="A1:K24"/>
  <sheetViews>
    <sheetView workbookViewId="0">
      <selection activeCell="D31" sqref="D31"/>
    </sheetView>
  </sheetViews>
  <sheetFormatPr baseColWidth="10" defaultRowHeight="15" x14ac:dyDescent="0.25"/>
  <cols>
    <col min="2" max="2" width="49.42578125" customWidth="1"/>
    <col min="10" max="10" width="13.42578125" customWidth="1"/>
  </cols>
  <sheetData>
    <row r="1" spans="1:11" x14ac:dyDescent="0.25">
      <c r="A1" s="12" t="s">
        <v>41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3" spans="1:11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</row>
    <row r="4" spans="1:11" x14ac:dyDescent="0.25">
      <c r="A4" s="3">
        <v>1</v>
      </c>
      <c r="B4" s="4" t="s">
        <v>13</v>
      </c>
      <c r="C4">
        <v>1</v>
      </c>
      <c r="D4">
        <v>9</v>
      </c>
      <c r="E4">
        <v>11</v>
      </c>
      <c r="F4">
        <v>1</v>
      </c>
      <c r="G4">
        <v>0</v>
      </c>
      <c r="H4">
        <v>0</v>
      </c>
      <c r="I4">
        <v>1</v>
      </c>
      <c r="J4">
        <v>0</v>
      </c>
      <c r="K4" s="4">
        <v>23</v>
      </c>
    </row>
    <row r="5" spans="1:11" x14ac:dyDescent="0.25">
      <c r="A5" s="3">
        <v>2</v>
      </c>
      <c r="B5" s="4" t="s">
        <v>14</v>
      </c>
      <c r="C5">
        <v>7</v>
      </c>
      <c r="D5">
        <v>6</v>
      </c>
      <c r="E5">
        <v>2</v>
      </c>
      <c r="F5">
        <v>2</v>
      </c>
      <c r="G5">
        <v>2</v>
      </c>
      <c r="H5">
        <v>0</v>
      </c>
      <c r="I5">
        <v>0</v>
      </c>
      <c r="J5">
        <v>0</v>
      </c>
      <c r="K5" s="4">
        <v>19</v>
      </c>
    </row>
    <row r="6" spans="1:11" x14ac:dyDescent="0.25">
      <c r="A6" s="3">
        <v>3</v>
      </c>
      <c r="B6" s="4" t="s">
        <v>15</v>
      </c>
      <c r="C6">
        <v>13</v>
      </c>
      <c r="D6">
        <v>34</v>
      </c>
      <c r="E6">
        <v>13</v>
      </c>
      <c r="F6">
        <v>7</v>
      </c>
      <c r="G6">
        <v>4</v>
      </c>
      <c r="H6">
        <v>0</v>
      </c>
      <c r="I6">
        <v>0</v>
      </c>
      <c r="J6">
        <v>0</v>
      </c>
      <c r="K6" s="4">
        <v>71</v>
      </c>
    </row>
    <row r="7" spans="1:11" x14ac:dyDescent="0.25">
      <c r="A7" s="3">
        <v>4</v>
      </c>
      <c r="B7" s="4" t="s">
        <v>16</v>
      </c>
      <c r="C7">
        <v>7</v>
      </c>
      <c r="D7">
        <v>31</v>
      </c>
      <c r="E7">
        <v>24</v>
      </c>
      <c r="F7">
        <v>12</v>
      </c>
      <c r="G7">
        <v>2</v>
      </c>
      <c r="K7" s="4">
        <v>76</v>
      </c>
    </row>
    <row r="8" spans="1:11" x14ac:dyDescent="0.25">
      <c r="A8" s="3">
        <v>5</v>
      </c>
      <c r="B8" s="4" t="s">
        <v>17</v>
      </c>
      <c r="C8">
        <v>4</v>
      </c>
      <c r="D8">
        <v>57</v>
      </c>
      <c r="E8">
        <v>22</v>
      </c>
      <c r="F8">
        <v>10</v>
      </c>
      <c r="G8">
        <v>8</v>
      </c>
      <c r="H8">
        <v>2</v>
      </c>
      <c r="K8" s="4">
        <v>103</v>
      </c>
    </row>
    <row r="9" spans="1:11" x14ac:dyDescent="0.25">
      <c r="A9" s="5">
        <v>6</v>
      </c>
      <c r="B9" s="4" t="s">
        <v>18</v>
      </c>
      <c r="C9">
        <v>90</v>
      </c>
      <c r="D9">
        <v>90</v>
      </c>
      <c r="E9">
        <v>29</v>
      </c>
      <c r="F9">
        <v>19</v>
      </c>
      <c r="G9">
        <v>12</v>
      </c>
      <c r="H9">
        <v>2</v>
      </c>
      <c r="I9">
        <v>0</v>
      </c>
      <c r="J9">
        <v>0</v>
      </c>
      <c r="K9" s="4">
        <v>242</v>
      </c>
    </row>
    <row r="10" spans="1:11" x14ac:dyDescent="0.25">
      <c r="A10" s="5"/>
      <c r="B10" s="4" t="s">
        <v>19</v>
      </c>
      <c r="C10">
        <v>27</v>
      </c>
      <c r="D10">
        <v>229</v>
      </c>
      <c r="E10">
        <v>84</v>
      </c>
      <c r="F10">
        <v>30</v>
      </c>
      <c r="G10">
        <v>22</v>
      </c>
      <c r="H10">
        <v>6</v>
      </c>
      <c r="I10">
        <v>0</v>
      </c>
      <c r="J10">
        <v>0</v>
      </c>
      <c r="K10" s="4">
        <v>398</v>
      </c>
    </row>
    <row r="11" spans="1:11" x14ac:dyDescent="0.25">
      <c r="A11" s="3"/>
      <c r="B11" s="4" t="s">
        <v>20</v>
      </c>
      <c r="C11">
        <v>364</v>
      </c>
      <c r="D11">
        <v>360</v>
      </c>
      <c r="E11">
        <v>103</v>
      </c>
      <c r="F11">
        <v>58</v>
      </c>
      <c r="G11">
        <v>85</v>
      </c>
      <c r="H11">
        <v>5</v>
      </c>
      <c r="I11">
        <v>1</v>
      </c>
      <c r="J11">
        <v>0</v>
      </c>
      <c r="K11" s="4">
        <v>976</v>
      </c>
    </row>
    <row r="12" spans="1:11" x14ac:dyDescent="0.25">
      <c r="A12" s="3">
        <v>7</v>
      </c>
      <c r="B12" s="4" t="s">
        <v>21</v>
      </c>
      <c r="C12">
        <v>21</v>
      </c>
      <c r="D12">
        <v>102</v>
      </c>
      <c r="E12">
        <v>23</v>
      </c>
      <c r="F12">
        <v>12</v>
      </c>
      <c r="G12">
        <v>19</v>
      </c>
      <c r="H12">
        <v>1</v>
      </c>
      <c r="K12" s="4">
        <v>178</v>
      </c>
    </row>
    <row r="13" spans="1:11" x14ac:dyDescent="0.25">
      <c r="A13" s="3">
        <v>8</v>
      </c>
      <c r="B13" s="4" t="s">
        <v>22</v>
      </c>
      <c r="C13">
        <v>18</v>
      </c>
      <c r="D13">
        <v>37</v>
      </c>
      <c r="E13">
        <v>25</v>
      </c>
      <c r="F13">
        <v>4</v>
      </c>
      <c r="G13">
        <v>11</v>
      </c>
      <c r="H13">
        <v>0</v>
      </c>
      <c r="I13">
        <v>0</v>
      </c>
      <c r="J13">
        <v>0</v>
      </c>
      <c r="K13" s="4">
        <v>95</v>
      </c>
    </row>
    <row r="14" spans="1:11" x14ac:dyDescent="0.25">
      <c r="A14" s="3">
        <v>9</v>
      </c>
      <c r="B14" s="4" t="s">
        <v>23</v>
      </c>
      <c r="C14">
        <v>3</v>
      </c>
      <c r="D14">
        <v>24</v>
      </c>
      <c r="E14">
        <v>20</v>
      </c>
      <c r="F14">
        <v>3</v>
      </c>
      <c r="G14">
        <v>5</v>
      </c>
      <c r="H14">
        <v>0</v>
      </c>
      <c r="I14">
        <v>0</v>
      </c>
      <c r="J14">
        <v>0</v>
      </c>
      <c r="K14" s="4">
        <v>55</v>
      </c>
    </row>
    <row r="15" spans="1:11" x14ac:dyDescent="0.25">
      <c r="A15" s="5">
        <v>11</v>
      </c>
      <c r="B15" s="4" t="s">
        <v>24</v>
      </c>
      <c r="C15">
        <v>4</v>
      </c>
      <c r="D15">
        <v>6</v>
      </c>
      <c r="E15">
        <v>9</v>
      </c>
      <c r="F15">
        <v>1</v>
      </c>
      <c r="G15">
        <v>4</v>
      </c>
      <c r="K15" s="4">
        <v>24</v>
      </c>
    </row>
    <row r="16" spans="1:11" x14ac:dyDescent="0.25">
      <c r="A16" s="3"/>
      <c r="B16" s="4" t="s">
        <v>25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 s="4">
        <v>0</v>
      </c>
    </row>
    <row r="17" spans="1:11" x14ac:dyDescent="0.25">
      <c r="A17" s="3">
        <v>12</v>
      </c>
      <c r="B17" s="4" t="s">
        <v>26</v>
      </c>
      <c r="C17">
        <v>12</v>
      </c>
      <c r="D17">
        <v>75</v>
      </c>
      <c r="E17">
        <v>23</v>
      </c>
      <c r="F17">
        <v>14</v>
      </c>
      <c r="G17">
        <v>14</v>
      </c>
      <c r="H17">
        <v>0</v>
      </c>
      <c r="I17">
        <v>0</v>
      </c>
      <c r="J17">
        <v>0</v>
      </c>
      <c r="K17" s="4">
        <v>138</v>
      </c>
    </row>
    <row r="18" spans="1:11" x14ac:dyDescent="0.25">
      <c r="A18" s="3">
        <v>13</v>
      </c>
      <c r="B18" s="4" t="s">
        <v>27</v>
      </c>
      <c r="C18">
        <v>23</v>
      </c>
      <c r="D18">
        <v>62</v>
      </c>
      <c r="E18">
        <v>21</v>
      </c>
      <c r="F18">
        <v>15</v>
      </c>
      <c r="G18">
        <v>6</v>
      </c>
      <c r="H18">
        <v>2</v>
      </c>
      <c r="I18">
        <v>0</v>
      </c>
      <c r="J18">
        <v>0</v>
      </c>
      <c r="K18" s="4">
        <v>129</v>
      </c>
    </row>
    <row r="19" spans="1:11" x14ac:dyDescent="0.25">
      <c r="A19" s="3">
        <v>14</v>
      </c>
      <c r="B19" s="4" t="s">
        <v>28</v>
      </c>
      <c r="C19">
        <v>14</v>
      </c>
      <c r="D19">
        <v>122</v>
      </c>
      <c r="E19">
        <v>66</v>
      </c>
      <c r="F19">
        <v>17</v>
      </c>
      <c r="G19">
        <v>13</v>
      </c>
      <c r="H19">
        <v>0</v>
      </c>
      <c r="I19">
        <v>0</v>
      </c>
      <c r="J19">
        <v>0</v>
      </c>
      <c r="K19" s="4">
        <v>232</v>
      </c>
    </row>
    <row r="20" spans="1:11" x14ac:dyDescent="0.25">
      <c r="A20" s="3">
        <v>15</v>
      </c>
      <c r="B20" s="4" t="s">
        <v>29</v>
      </c>
      <c r="C20">
        <v>8</v>
      </c>
      <c r="D20">
        <v>44</v>
      </c>
      <c r="E20">
        <v>17</v>
      </c>
      <c r="F20">
        <v>6</v>
      </c>
      <c r="G20">
        <v>12</v>
      </c>
      <c r="H20">
        <v>1</v>
      </c>
      <c r="I20">
        <v>0</v>
      </c>
      <c r="J20">
        <v>0</v>
      </c>
      <c r="K20" s="4">
        <v>88</v>
      </c>
    </row>
    <row r="21" spans="1:11" x14ac:dyDescent="0.25">
      <c r="A21" s="3">
        <v>16</v>
      </c>
      <c r="B21" s="4" t="s">
        <v>30</v>
      </c>
      <c r="C21">
        <v>119</v>
      </c>
      <c r="D21">
        <v>592</v>
      </c>
      <c r="E21">
        <v>190</v>
      </c>
      <c r="F21">
        <v>34</v>
      </c>
      <c r="G21">
        <v>29</v>
      </c>
      <c r="H21">
        <v>6</v>
      </c>
      <c r="K21" s="4">
        <v>970</v>
      </c>
    </row>
    <row r="22" spans="1:11" x14ac:dyDescent="0.25">
      <c r="A22" s="1"/>
      <c r="B22" s="2" t="s">
        <v>12</v>
      </c>
      <c r="C22" s="4">
        <f>SUM(C4:C21)</f>
        <v>735</v>
      </c>
      <c r="D22" s="4">
        <f t="shared" ref="D22:K22" si="0">SUM(D4:D21)</f>
        <v>1880</v>
      </c>
      <c r="E22" s="4">
        <f t="shared" si="0"/>
        <v>682</v>
      </c>
      <c r="F22" s="4">
        <f t="shared" si="0"/>
        <v>245</v>
      </c>
      <c r="G22" s="4">
        <f t="shared" si="0"/>
        <v>248</v>
      </c>
      <c r="H22" s="4">
        <f t="shared" si="0"/>
        <v>25</v>
      </c>
      <c r="I22" s="4">
        <f t="shared" si="0"/>
        <v>2</v>
      </c>
      <c r="J22" s="4">
        <f t="shared" si="0"/>
        <v>0</v>
      </c>
      <c r="K22" s="4">
        <f t="shared" si="0"/>
        <v>3817</v>
      </c>
    </row>
    <row r="23" spans="1:11" x14ac:dyDescent="0.25">
      <c r="A23" s="1"/>
    </row>
    <row r="24" spans="1:11" x14ac:dyDescent="0.25">
      <c r="A24" t="s">
        <v>31</v>
      </c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23C5D-E0F7-4063-82C9-3C3D1CC1C4FD}">
  <dimension ref="A1:J22"/>
  <sheetViews>
    <sheetView zoomScaleNormal="100" workbookViewId="0">
      <selection activeCell="B25" sqref="B25"/>
    </sheetView>
  </sheetViews>
  <sheetFormatPr baseColWidth="10" defaultRowHeight="15" x14ac:dyDescent="0.25"/>
  <cols>
    <col min="2" max="2" width="45.28515625" customWidth="1"/>
    <col min="10" max="10" width="13.28515625" customWidth="1"/>
  </cols>
  <sheetData>
    <row r="1" spans="1:10" x14ac:dyDescent="0.25">
      <c r="A1" s="12" t="s">
        <v>42</v>
      </c>
      <c r="B1" s="13"/>
      <c r="C1" s="13"/>
      <c r="D1" s="13"/>
      <c r="E1" s="13"/>
      <c r="F1" s="13"/>
      <c r="G1" s="13"/>
      <c r="H1" s="13"/>
      <c r="I1" s="13"/>
      <c r="J1" s="14"/>
    </row>
    <row r="3" spans="1:10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x14ac:dyDescent="0.25">
      <c r="A4" s="3">
        <v>1</v>
      </c>
      <c r="B4" s="4" t="s">
        <v>13</v>
      </c>
      <c r="C4">
        <v>44</v>
      </c>
      <c r="D4">
        <v>74.900000000000006</v>
      </c>
      <c r="E4">
        <v>91.5</v>
      </c>
      <c r="F4">
        <v>233</v>
      </c>
      <c r="G4">
        <v>0</v>
      </c>
      <c r="H4">
        <v>0</v>
      </c>
      <c r="I4">
        <v>160</v>
      </c>
      <c r="J4">
        <v>0</v>
      </c>
    </row>
    <row r="5" spans="1:10" x14ac:dyDescent="0.25">
      <c r="A5" s="3">
        <v>2</v>
      </c>
      <c r="B5" s="4" t="s">
        <v>14</v>
      </c>
      <c r="C5">
        <v>78</v>
      </c>
      <c r="D5">
        <v>194.3</v>
      </c>
      <c r="E5">
        <v>166</v>
      </c>
      <c r="F5">
        <v>146.5</v>
      </c>
      <c r="G5">
        <v>712</v>
      </c>
      <c r="H5">
        <v>0</v>
      </c>
      <c r="I5">
        <v>0</v>
      </c>
      <c r="J5">
        <v>0</v>
      </c>
    </row>
    <row r="6" spans="1:10" x14ac:dyDescent="0.25">
      <c r="A6" s="3">
        <v>3</v>
      </c>
      <c r="B6" s="4" t="s">
        <v>15</v>
      </c>
      <c r="C6">
        <v>30.92</v>
      </c>
      <c r="D6">
        <v>211.5</v>
      </c>
      <c r="E6">
        <v>391.8</v>
      </c>
      <c r="F6">
        <v>223.9</v>
      </c>
      <c r="G6">
        <v>125.5</v>
      </c>
    </row>
    <row r="7" spans="1:10" x14ac:dyDescent="0.25">
      <c r="A7" s="3">
        <v>4</v>
      </c>
      <c r="B7" s="4" t="s">
        <v>16</v>
      </c>
      <c r="C7">
        <v>23.43</v>
      </c>
      <c r="D7">
        <v>98.74</v>
      </c>
      <c r="E7">
        <v>81.67</v>
      </c>
      <c r="F7">
        <v>135.80000000000001</v>
      </c>
      <c r="G7">
        <v>126.5</v>
      </c>
    </row>
    <row r="8" spans="1:10" x14ac:dyDescent="0.25">
      <c r="A8" s="3">
        <v>5</v>
      </c>
      <c r="B8" s="4" t="s">
        <v>17</v>
      </c>
      <c r="C8">
        <v>128</v>
      </c>
      <c r="D8">
        <v>309</v>
      </c>
      <c r="E8">
        <v>351</v>
      </c>
      <c r="F8">
        <v>350</v>
      </c>
      <c r="G8">
        <v>258</v>
      </c>
      <c r="H8">
        <v>173</v>
      </c>
    </row>
    <row r="9" spans="1:10" x14ac:dyDescent="0.25">
      <c r="A9" s="5">
        <v>6</v>
      </c>
      <c r="B9" s="4" t="s">
        <v>18</v>
      </c>
      <c r="C9">
        <v>273.8</v>
      </c>
      <c r="D9">
        <v>243.9</v>
      </c>
      <c r="E9">
        <v>197.8</v>
      </c>
      <c r="F9">
        <v>280.2</v>
      </c>
      <c r="G9">
        <v>313.39999999999998</v>
      </c>
      <c r="H9">
        <v>220</v>
      </c>
      <c r="I9">
        <v>0</v>
      </c>
      <c r="J9">
        <v>0</v>
      </c>
    </row>
    <row r="10" spans="1:10" x14ac:dyDescent="0.25">
      <c r="A10" s="5"/>
      <c r="B10" s="4" t="s">
        <v>19</v>
      </c>
      <c r="C10">
        <v>143.5</v>
      </c>
      <c r="D10">
        <v>460.8</v>
      </c>
      <c r="E10">
        <v>586.5</v>
      </c>
      <c r="F10">
        <v>649.79999999999995</v>
      </c>
      <c r="G10">
        <v>404.1</v>
      </c>
      <c r="H10">
        <v>419.8</v>
      </c>
    </row>
    <row r="11" spans="1:10" x14ac:dyDescent="0.25">
      <c r="A11" s="3"/>
      <c r="B11" s="4" t="s">
        <v>20</v>
      </c>
      <c r="C11">
        <v>249.5</v>
      </c>
      <c r="D11">
        <v>860.1</v>
      </c>
      <c r="E11">
        <v>578</v>
      </c>
      <c r="F11">
        <v>614.5</v>
      </c>
      <c r="G11">
        <v>794</v>
      </c>
      <c r="H11">
        <v>310.8</v>
      </c>
      <c r="I11">
        <v>1371</v>
      </c>
      <c r="J11">
        <v>0</v>
      </c>
    </row>
    <row r="12" spans="1:10" x14ac:dyDescent="0.25">
      <c r="A12" s="3">
        <v>7</v>
      </c>
      <c r="B12" s="4" t="s">
        <v>21</v>
      </c>
      <c r="C12">
        <v>27.5</v>
      </c>
      <c r="D12">
        <v>163.4</v>
      </c>
      <c r="E12">
        <v>166.5</v>
      </c>
      <c r="F12">
        <v>143.1</v>
      </c>
      <c r="G12">
        <v>189.9</v>
      </c>
      <c r="H12">
        <v>324</v>
      </c>
    </row>
    <row r="13" spans="1:10" x14ac:dyDescent="0.25">
      <c r="A13" s="3">
        <v>8</v>
      </c>
      <c r="B13" s="4" t="s">
        <v>22</v>
      </c>
      <c r="C13">
        <v>339.1</v>
      </c>
      <c r="D13">
        <v>350.6</v>
      </c>
      <c r="E13">
        <v>430.4</v>
      </c>
      <c r="F13">
        <v>709</v>
      </c>
      <c r="G13">
        <v>444.8</v>
      </c>
      <c r="H13">
        <v>0</v>
      </c>
      <c r="I13">
        <v>0</v>
      </c>
      <c r="J13">
        <v>0</v>
      </c>
    </row>
    <row r="14" spans="1:10" x14ac:dyDescent="0.25">
      <c r="A14" s="3">
        <v>9</v>
      </c>
      <c r="B14" s="4" t="s">
        <v>23</v>
      </c>
      <c r="C14">
        <v>202.3</v>
      </c>
      <c r="D14">
        <v>255.3</v>
      </c>
      <c r="E14">
        <v>273.3</v>
      </c>
      <c r="F14">
        <v>313</v>
      </c>
      <c r="G14">
        <v>272.8</v>
      </c>
    </row>
    <row r="15" spans="1:10" x14ac:dyDescent="0.25">
      <c r="A15" s="3">
        <v>11</v>
      </c>
      <c r="B15" s="4" t="s">
        <v>24</v>
      </c>
      <c r="C15">
        <v>20</v>
      </c>
      <c r="D15">
        <v>426.3</v>
      </c>
      <c r="E15">
        <v>69.8</v>
      </c>
      <c r="F15">
        <v>106</v>
      </c>
      <c r="G15">
        <v>144.19999999999999</v>
      </c>
    </row>
    <row r="16" spans="1:10" x14ac:dyDescent="0.25">
      <c r="A16" s="3">
        <v>12</v>
      </c>
      <c r="B16" s="4" t="s">
        <v>26</v>
      </c>
      <c r="C16">
        <v>33.75</v>
      </c>
      <c r="D16">
        <v>171.8</v>
      </c>
      <c r="E16">
        <v>156.6</v>
      </c>
      <c r="F16">
        <v>175.7</v>
      </c>
      <c r="G16">
        <v>156.5</v>
      </c>
      <c r="H16">
        <v>0</v>
      </c>
      <c r="I16">
        <v>0</v>
      </c>
      <c r="J16">
        <v>0</v>
      </c>
    </row>
    <row r="17" spans="1:10" x14ac:dyDescent="0.25">
      <c r="A17" s="3">
        <v>13</v>
      </c>
      <c r="B17" s="4" t="s">
        <v>27</v>
      </c>
      <c r="C17">
        <v>52.6</v>
      </c>
      <c r="D17">
        <v>383</v>
      </c>
      <c r="E17">
        <v>268.2</v>
      </c>
      <c r="F17">
        <v>307.3</v>
      </c>
      <c r="G17">
        <v>284.7</v>
      </c>
      <c r="H17">
        <v>1470</v>
      </c>
    </row>
    <row r="18" spans="1:10" x14ac:dyDescent="0.25">
      <c r="A18" s="3">
        <v>14</v>
      </c>
      <c r="B18" s="4" t="s">
        <v>28</v>
      </c>
      <c r="C18">
        <v>44.6</v>
      </c>
      <c r="D18">
        <v>178.4</v>
      </c>
      <c r="E18">
        <v>162.30000000000001</v>
      </c>
      <c r="F18">
        <v>135.9</v>
      </c>
      <c r="G18">
        <v>173</v>
      </c>
      <c r="H18">
        <v>0</v>
      </c>
      <c r="I18">
        <v>0</v>
      </c>
      <c r="J18">
        <v>0</v>
      </c>
    </row>
    <row r="19" spans="1:10" x14ac:dyDescent="0.25">
      <c r="A19" s="3">
        <v>15</v>
      </c>
      <c r="B19" s="4" t="s">
        <v>29</v>
      </c>
      <c r="C19">
        <v>33.1</v>
      </c>
      <c r="D19">
        <v>172.7</v>
      </c>
      <c r="E19">
        <v>237.6</v>
      </c>
      <c r="F19">
        <v>158.30000000000001</v>
      </c>
      <c r="G19">
        <v>720.3</v>
      </c>
      <c r="H19">
        <v>327</v>
      </c>
      <c r="I19">
        <v>0</v>
      </c>
      <c r="J19">
        <v>0</v>
      </c>
    </row>
    <row r="20" spans="1:10" x14ac:dyDescent="0.25">
      <c r="A20" s="3">
        <v>16</v>
      </c>
      <c r="B20" s="4" t="s">
        <v>30</v>
      </c>
      <c r="C20">
        <v>67</v>
      </c>
      <c r="D20">
        <v>187</v>
      </c>
      <c r="E20">
        <v>179</v>
      </c>
      <c r="F20">
        <v>205</v>
      </c>
      <c r="G20">
        <v>226</v>
      </c>
      <c r="H20">
        <v>607</v>
      </c>
    </row>
    <row r="22" spans="1:10" x14ac:dyDescent="0.25">
      <c r="A22" t="s">
        <v>31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91466-FC73-4DB7-9FBB-7981A10BE99C}">
  <dimension ref="A1:K52"/>
  <sheetViews>
    <sheetView workbookViewId="0">
      <selection sqref="A1:K1"/>
    </sheetView>
  </sheetViews>
  <sheetFormatPr baseColWidth="10" defaultRowHeight="15" x14ac:dyDescent="0.25"/>
  <cols>
    <col min="2" max="2" width="47.7109375" customWidth="1"/>
    <col min="10" max="10" width="14.7109375" customWidth="1"/>
  </cols>
  <sheetData>
    <row r="1" spans="1:11" x14ac:dyDescent="0.25">
      <c r="A1" s="21" t="s">
        <v>43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3" spans="1:11" x14ac:dyDescent="0.25">
      <c r="A3" s="4"/>
    </row>
    <row r="5" spans="1:11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</row>
    <row r="6" spans="1:11" x14ac:dyDescent="0.25">
      <c r="A6" s="3">
        <v>1</v>
      </c>
      <c r="B6" s="4" t="s">
        <v>13</v>
      </c>
      <c r="C6">
        <v>90</v>
      </c>
      <c r="D6">
        <v>218</v>
      </c>
      <c r="E6">
        <v>103</v>
      </c>
      <c r="F6">
        <v>64</v>
      </c>
      <c r="G6">
        <v>216</v>
      </c>
      <c r="H6">
        <v>213</v>
      </c>
      <c r="I6">
        <v>125</v>
      </c>
      <c r="J6">
        <v>131</v>
      </c>
      <c r="K6" s="4">
        <f>SUM(C6:J6)</f>
        <v>1160</v>
      </c>
    </row>
    <row r="7" spans="1:11" x14ac:dyDescent="0.25">
      <c r="A7" s="3">
        <v>2</v>
      </c>
      <c r="B7" s="4" t="s">
        <v>14</v>
      </c>
      <c r="C7">
        <v>276</v>
      </c>
      <c r="D7">
        <v>109</v>
      </c>
      <c r="E7">
        <v>33</v>
      </c>
      <c r="F7">
        <v>25</v>
      </c>
      <c r="G7">
        <v>177</v>
      </c>
      <c r="H7">
        <v>310</v>
      </c>
      <c r="I7">
        <v>173</v>
      </c>
      <c r="J7">
        <v>248</v>
      </c>
      <c r="K7" s="4">
        <f t="shared" ref="K7:K25" si="0">SUM(C7:J7)</f>
        <v>1351</v>
      </c>
    </row>
    <row r="8" spans="1:11" x14ac:dyDescent="0.25">
      <c r="A8" s="3">
        <v>3</v>
      </c>
      <c r="B8" s="4" t="s">
        <v>15</v>
      </c>
      <c r="C8">
        <v>828</v>
      </c>
      <c r="D8">
        <v>394</v>
      </c>
      <c r="E8">
        <v>204</v>
      </c>
      <c r="F8">
        <v>123</v>
      </c>
      <c r="G8">
        <v>690</v>
      </c>
      <c r="H8">
        <v>993</v>
      </c>
      <c r="I8">
        <v>518</v>
      </c>
      <c r="J8">
        <v>849</v>
      </c>
      <c r="K8" s="4">
        <f t="shared" si="0"/>
        <v>4599</v>
      </c>
    </row>
    <row r="9" spans="1:11" x14ac:dyDescent="0.25">
      <c r="A9" s="3">
        <v>4</v>
      </c>
      <c r="B9" s="4" t="s">
        <v>16</v>
      </c>
      <c r="C9">
        <v>371</v>
      </c>
      <c r="D9">
        <v>323</v>
      </c>
      <c r="E9">
        <v>111</v>
      </c>
      <c r="F9">
        <v>48</v>
      </c>
      <c r="G9">
        <v>294</v>
      </c>
      <c r="H9">
        <v>508</v>
      </c>
      <c r="I9">
        <v>243</v>
      </c>
      <c r="J9">
        <v>278</v>
      </c>
      <c r="K9" s="4">
        <f t="shared" si="0"/>
        <v>2176</v>
      </c>
    </row>
    <row r="10" spans="1:11" x14ac:dyDescent="0.25">
      <c r="A10" s="3">
        <v>5</v>
      </c>
      <c r="B10" s="4" t="s">
        <v>17</v>
      </c>
      <c r="C10">
        <v>200</v>
      </c>
      <c r="D10">
        <v>257</v>
      </c>
      <c r="E10">
        <v>76</v>
      </c>
      <c r="F10">
        <v>41</v>
      </c>
      <c r="G10">
        <v>229</v>
      </c>
      <c r="H10">
        <v>312</v>
      </c>
      <c r="I10">
        <v>205</v>
      </c>
      <c r="J10">
        <v>422</v>
      </c>
      <c r="K10" s="4">
        <f t="shared" si="0"/>
        <v>1742</v>
      </c>
    </row>
    <row r="11" spans="1:11" x14ac:dyDescent="0.25">
      <c r="A11" s="5">
        <v>6</v>
      </c>
      <c r="B11" s="4" t="s">
        <v>32</v>
      </c>
      <c r="C11">
        <v>558</v>
      </c>
      <c r="D11">
        <v>275</v>
      </c>
      <c r="E11">
        <v>73</v>
      </c>
      <c r="F11">
        <v>3</v>
      </c>
      <c r="G11">
        <v>2</v>
      </c>
      <c r="H11">
        <v>0</v>
      </c>
      <c r="I11">
        <v>0</v>
      </c>
      <c r="J11">
        <v>0</v>
      </c>
      <c r="K11" s="4">
        <f t="shared" si="0"/>
        <v>911</v>
      </c>
    </row>
    <row r="12" spans="1:11" x14ac:dyDescent="0.25">
      <c r="B12" s="4" t="s">
        <v>18</v>
      </c>
      <c r="C12">
        <v>110</v>
      </c>
      <c r="D12">
        <v>110</v>
      </c>
      <c r="E12">
        <v>39</v>
      </c>
      <c r="F12">
        <v>25</v>
      </c>
      <c r="G12">
        <v>31</v>
      </c>
      <c r="H12">
        <v>5</v>
      </c>
      <c r="I12">
        <v>0</v>
      </c>
      <c r="J12">
        <v>0</v>
      </c>
      <c r="K12" s="4">
        <f t="shared" si="0"/>
        <v>320</v>
      </c>
    </row>
    <row r="13" spans="1:11" x14ac:dyDescent="0.25">
      <c r="A13" s="5"/>
      <c r="B13" s="4" t="s">
        <v>19</v>
      </c>
      <c r="C13">
        <v>568</v>
      </c>
      <c r="D13">
        <v>454</v>
      </c>
      <c r="E13">
        <v>194</v>
      </c>
      <c r="F13">
        <v>96</v>
      </c>
      <c r="G13">
        <v>475</v>
      </c>
      <c r="H13">
        <v>717</v>
      </c>
      <c r="I13">
        <v>434</v>
      </c>
      <c r="J13">
        <v>918</v>
      </c>
      <c r="K13" s="4">
        <f t="shared" si="0"/>
        <v>3856</v>
      </c>
    </row>
    <row r="14" spans="1:11" x14ac:dyDescent="0.25">
      <c r="A14" s="3"/>
      <c r="B14" s="4" t="s">
        <v>20</v>
      </c>
      <c r="C14">
        <v>876</v>
      </c>
      <c r="D14">
        <v>596</v>
      </c>
      <c r="E14">
        <v>197</v>
      </c>
      <c r="F14">
        <v>144</v>
      </c>
      <c r="G14">
        <v>580</v>
      </c>
      <c r="H14">
        <v>791</v>
      </c>
      <c r="I14">
        <v>327</v>
      </c>
      <c r="J14">
        <v>1131</v>
      </c>
      <c r="K14" s="4">
        <f t="shared" si="0"/>
        <v>4642</v>
      </c>
    </row>
    <row r="15" spans="1:11" x14ac:dyDescent="0.25">
      <c r="A15" s="3"/>
      <c r="B15" s="4" t="s">
        <v>33</v>
      </c>
      <c r="C15" s="8">
        <v>0</v>
      </c>
      <c r="D15">
        <v>0</v>
      </c>
      <c r="E15">
        <v>0</v>
      </c>
      <c r="F15">
        <v>0</v>
      </c>
      <c r="G15">
        <v>31</v>
      </c>
      <c r="H15">
        <v>103</v>
      </c>
      <c r="I15">
        <v>97</v>
      </c>
      <c r="J15">
        <v>133</v>
      </c>
      <c r="K15" s="4">
        <f t="shared" si="0"/>
        <v>364</v>
      </c>
    </row>
    <row r="16" spans="1:11" x14ac:dyDescent="0.25">
      <c r="A16" s="3">
        <v>7</v>
      </c>
      <c r="B16" s="4" t="s">
        <v>21</v>
      </c>
      <c r="C16">
        <v>326</v>
      </c>
      <c r="D16">
        <v>432</v>
      </c>
      <c r="E16">
        <v>66</v>
      </c>
      <c r="F16">
        <v>46</v>
      </c>
      <c r="G16">
        <v>194</v>
      </c>
      <c r="H16">
        <v>365</v>
      </c>
      <c r="I16">
        <v>233</v>
      </c>
      <c r="J16">
        <v>323</v>
      </c>
      <c r="K16" s="4">
        <f t="shared" si="0"/>
        <v>1985</v>
      </c>
    </row>
    <row r="17" spans="1:11" x14ac:dyDescent="0.25">
      <c r="A17" s="3">
        <v>8</v>
      </c>
      <c r="B17" s="4" t="s">
        <v>22</v>
      </c>
      <c r="C17">
        <v>138</v>
      </c>
      <c r="D17">
        <v>154</v>
      </c>
      <c r="E17">
        <v>158</v>
      </c>
      <c r="F17">
        <v>64</v>
      </c>
      <c r="G17">
        <v>247</v>
      </c>
      <c r="H17">
        <v>259</v>
      </c>
      <c r="I17">
        <v>165</v>
      </c>
      <c r="J17">
        <v>295</v>
      </c>
      <c r="K17" s="4">
        <f t="shared" si="0"/>
        <v>1480</v>
      </c>
    </row>
    <row r="18" spans="1:11" x14ac:dyDescent="0.25">
      <c r="A18" s="3">
        <v>9</v>
      </c>
      <c r="B18" s="4" t="s">
        <v>23</v>
      </c>
      <c r="C18">
        <v>58</v>
      </c>
      <c r="D18">
        <v>92</v>
      </c>
      <c r="E18">
        <v>39</v>
      </c>
      <c r="F18">
        <v>12</v>
      </c>
      <c r="G18">
        <v>54</v>
      </c>
      <c r="H18">
        <v>123</v>
      </c>
      <c r="I18">
        <v>62</v>
      </c>
      <c r="J18">
        <v>94</v>
      </c>
      <c r="K18" s="4">
        <f t="shared" si="0"/>
        <v>534</v>
      </c>
    </row>
    <row r="19" spans="1:11" x14ac:dyDescent="0.25">
      <c r="A19" s="5">
        <v>11</v>
      </c>
      <c r="B19" s="4" t="s">
        <v>24</v>
      </c>
      <c r="C19">
        <v>41</v>
      </c>
      <c r="D19">
        <v>38</v>
      </c>
      <c r="E19">
        <v>33</v>
      </c>
      <c r="F19">
        <v>20</v>
      </c>
      <c r="G19">
        <v>88</v>
      </c>
      <c r="H19">
        <v>123</v>
      </c>
      <c r="I19">
        <v>117</v>
      </c>
      <c r="J19">
        <v>182</v>
      </c>
      <c r="K19" s="4">
        <f t="shared" si="0"/>
        <v>642</v>
      </c>
    </row>
    <row r="20" spans="1:11" x14ac:dyDescent="0.25">
      <c r="A20" s="3"/>
      <c r="B20" s="4" t="s">
        <v>25</v>
      </c>
      <c r="C20">
        <v>251</v>
      </c>
      <c r="D20">
        <v>232</v>
      </c>
      <c r="E20">
        <v>141</v>
      </c>
      <c r="F20">
        <v>88</v>
      </c>
      <c r="G20">
        <v>378</v>
      </c>
      <c r="H20">
        <v>436</v>
      </c>
      <c r="I20">
        <v>214</v>
      </c>
      <c r="J20">
        <v>319</v>
      </c>
      <c r="K20" s="4">
        <f t="shared" si="0"/>
        <v>2059</v>
      </c>
    </row>
    <row r="21" spans="1:11" x14ac:dyDescent="0.25">
      <c r="A21" s="3">
        <v>12</v>
      </c>
      <c r="B21" s="4" t="s">
        <v>26</v>
      </c>
      <c r="C21">
        <v>302</v>
      </c>
      <c r="D21">
        <v>197</v>
      </c>
      <c r="E21">
        <v>42</v>
      </c>
      <c r="F21">
        <v>44</v>
      </c>
      <c r="G21">
        <v>171</v>
      </c>
      <c r="H21">
        <v>274</v>
      </c>
      <c r="I21">
        <v>170</v>
      </c>
      <c r="J21">
        <v>170</v>
      </c>
      <c r="K21" s="4">
        <f t="shared" si="0"/>
        <v>1370</v>
      </c>
    </row>
    <row r="22" spans="1:11" x14ac:dyDescent="0.25">
      <c r="A22" s="3">
        <v>13</v>
      </c>
      <c r="B22" s="4" t="s">
        <v>27</v>
      </c>
      <c r="C22">
        <v>416</v>
      </c>
      <c r="D22">
        <v>890</v>
      </c>
      <c r="E22">
        <v>134</v>
      </c>
      <c r="F22">
        <v>68</v>
      </c>
      <c r="G22">
        <v>276</v>
      </c>
      <c r="H22">
        <v>458</v>
      </c>
      <c r="I22">
        <v>364</v>
      </c>
      <c r="J22">
        <v>582</v>
      </c>
      <c r="K22" s="4">
        <f t="shared" si="0"/>
        <v>3188</v>
      </c>
    </row>
    <row r="23" spans="1:11" x14ac:dyDescent="0.25">
      <c r="A23" s="3">
        <v>14</v>
      </c>
      <c r="B23" s="4" t="s">
        <v>28</v>
      </c>
      <c r="C23">
        <v>323</v>
      </c>
      <c r="D23">
        <v>782</v>
      </c>
      <c r="E23">
        <v>206</v>
      </c>
      <c r="F23">
        <v>69</v>
      </c>
      <c r="G23">
        <v>296</v>
      </c>
      <c r="H23">
        <v>518</v>
      </c>
      <c r="I23">
        <v>273</v>
      </c>
      <c r="J23">
        <v>403</v>
      </c>
      <c r="K23" s="4">
        <f t="shared" si="0"/>
        <v>2870</v>
      </c>
    </row>
    <row r="24" spans="1:11" x14ac:dyDescent="0.25">
      <c r="A24" s="3">
        <v>15</v>
      </c>
      <c r="B24" s="4" t="s">
        <v>29</v>
      </c>
      <c r="C24">
        <v>67</v>
      </c>
      <c r="D24">
        <v>170</v>
      </c>
      <c r="E24">
        <v>122</v>
      </c>
      <c r="F24">
        <v>72</v>
      </c>
      <c r="G24">
        <v>441</v>
      </c>
      <c r="H24">
        <v>795</v>
      </c>
      <c r="I24">
        <v>591</v>
      </c>
      <c r="J24">
        <v>2099</v>
      </c>
      <c r="K24" s="4">
        <f t="shared" si="0"/>
        <v>4357</v>
      </c>
    </row>
    <row r="25" spans="1:11" x14ac:dyDescent="0.25">
      <c r="A25" s="3">
        <v>16</v>
      </c>
      <c r="B25" s="4" t="s">
        <v>30</v>
      </c>
      <c r="C25">
        <v>1249</v>
      </c>
      <c r="D25">
        <v>1058</v>
      </c>
      <c r="E25">
        <v>346</v>
      </c>
      <c r="F25">
        <v>115</v>
      </c>
      <c r="G25">
        <v>502</v>
      </c>
      <c r="H25">
        <v>825</v>
      </c>
      <c r="I25">
        <v>455</v>
      </c>
      <c r="J25">
        <v>411</v>
      </c>
      <c r="K25" s="4">
        <f t="shared" si="0"/>
        <v>4961</v>
      </c>
    </row>
    <row r="26" spans="1:11" x14ac:dyDescent="0.25">
      <c r="B26" s="2" t="s">
        <v>12</v>
      </c>
      <c r="C26" s="4">
        <f>SUM(C6:C25)</f>
        <v>7048</v>
      </c>
      <c r="D26" s="4">
        <f t="shared" ref="D26:K26" si="1">SUM(D6:D25)</f>
        <v>6781</v>
      </c>
      <c r="E26" s="4">
        <f>SUM(E6:E25)</f>
        <v>2317</v>
      </c>
      <c r="F26" s="4">
        <f t="shared" si="1"/>
        <v>1167</v>
      </c>
      <c r="G26" s="4">
        <f t="shared" si="1"/>
        <v>5372</v>
      </c>
      <c r="H26" s="4">
        <f t="shared" si="1"/>
        <v>8128</v>
      </c>
      <c r="I26" s="4">
        <f t="shared" si="1"/>
        <v>4766</v>
      </c>
      <c r="J26" s="4">
        <f t="shared" si="1"/>
        <v>8988</v>
      </c>
      <c r="K26" s="4">
        <f t="shared" si="1"/>
        <v>44567</v>
      </c>
    </row>
    <row r="28" spans="1:11" x14ac:dyDescent="0.25">
      <c r="A28" t="s">
        <v>39</v>
      </c>
    </row>
    <row r="30" spans="1:11" x14ac:dyDescent="0.25">
      <c r="A30" s="4"/>
    </row>
    <row r="32" spans="1:11" x14ac:dyDescent="0.25">
      <c r="A32" s="4"/>
    </row>
    <row r="35" spans="1:2" x14ac:dyDescent="0.25">
      <c r="A35" s="3"/>
      <c r="B35" s="4"/>
    </row>
    <row r="36" spans="1:2" x14ac:dyDescent="0.25">
      <c r="A36" s="3"/>
      <c r="B36" s="4"/>
    </row>
    <row r="37" spans="1:2" x14ac:dyDescent="0.25">
      <c r="A37" s="3"/>
      <c r="B37" s="4"/>
    </row>
    <row r="38" spans="1:2" x14ac:dyDescent="0.25">
      <c r="A38" s="3"/>
      <c r="B38" s="4"/>
    </row>
    <row r="39" spans="1:2" x14ac:dyDescent="0.25">
      <c r="A39" s="3"/>
      <c r="B39" s="4"/>
    </row>
    <row r="40" spans="1:2" x14ac:dyDescent="0.25">
      <c r="A40" s="5"/>
      <c r="B40" s="4"/>
    </row>
    <row r="41" spans="1:2" x14ac:dyDescent="0.25">
      <c r="A41" s="5"/>
      <c r="B41" s="4"/>
    </row>
    <row r="42" spans="1:2" x14ac:dyDescent="0.25">
      <c r="A42" s="5"/>
      <c r="B42" s="4"/>
    </row>
    <row r="43" spans="1:2" x14ac:dyDescent="0.25">
      <c r="A43" s="3"/>
      <c r="B43" s="4"/>
    </row>
    <row r="44" spans="1:2" x14ac:dyDescent="0.25">
      <c r="A44" s="3"/>
      <c r="B44" s="4"/>
    </row>
    <row r="45" spans="1:2" x14ac:dyDescent="0.25">
      <c r="A45" s="3"/>
      <c r="B45" s="4"/>
    </row>
    <row r="46" spans="1:2" x14ac:dyDescent="0.25">
      <c r="A46" s="3"/>
      <c r="B46" s="4"/>
    </row>
    <row r="47" spans="1:2" x14ac:dyDescent="0.25">
      <c r="A47" s="3"/>
      <c r="B47" s="4"/>
    </row>
    <row r="48" spans="1:2" x14ac:dyDescent="0.25">
      <c r="A48" s="3"/>
      <c r="B48" s="4"/>
    </row>
    <row r="49" spans="1:2" x14ac:dyDescent="0.25">
      <c r="A49" s="3"/>
      <c r="B49" s="4"/>
    </row>
    <row r="50" spans="1:2" x14ac:dyDescent="0.25">
      <c r="A50" s="3"/>
      <c r="B50" s="4"/>
    </row>
    <row r="51" spans="1:2" x14ac:dyDescent="0.25">
      <c r="A51" s="3"/>
      <c r="B51" s="4"/>
    </row>
    <row r="52" spans="1:2" x14ac:dyDescent="0.25">
      <c r="A52" s="3"/>
      <c r="B52" s="4"/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7EDAF-CA80-4E6F-A86C-A9B34DF43FFC}">
  <dimension ref="A1:J50"/>
  <sheetViews>
    <sheetView workbookViewId="0">
      <selection activeCell="B27" sqref="B27"/>
    </sheetView>
  </sheetViews>
  <sheetFormatPr baseColWidth="10" defaultRowHeight="15" x14ac:dyDescent="0.25"/>
  <cols>
    <col min="2" max="2" width="47" customWidth="1"/>
    <col min="10" max="10" width="13.42578125" customWidth="1"/>
  </cols>
  <sheetData>
    <row r="1" spans="1:10" x14ac:dyDescent="0.25">
      <c r="A1" s="18" t="s">
        <v>44</v>
      </c>
      <c r="B1" s="19"/>
      <c r="C1" s="19"/>
      <c r="D1" s="19"/>
      <c r="E1" s="19"/>
      <c r="F1" s="19"/>
      <c r="G1" s="19"/>
      <c r="H1" s="20"/>
    </row>
    <row r="3" spans="1:10" x14ac:dyDescent="0.25">
      <c r="A3" s="4"/>
    </row>
    <row r="5" spans="1:10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</row>
    <row r="6" spans="1:10" x14ac:dyDescent="0.25">
      <c r="A6" s="3">
        <v>1</v>
      </c>
      <c r="B6" s="4" t="s">
        <v>13</v>
      </c>
      <c r="C6" s="6">
        <v>216.49222222222221</v>
      </c>
      <c r="D6" s="6">
        <v>335.19999999999993</v>
      </c>
      <c r="E6" s="6">
        <v>30.762135922330096</v>
      </c>
      <c r="F6" s="6">
        <v>27.650000000000002</v>
      </c>
      <c r="G6" s="6">
        <v>27.212037037037039</v>
      </c>
      <c r="H6" s="6">
        <v>48.26525821596244</v>
      </c>
      <c r="I6" s="6">
        <v>61.295999999999999</v>
      </c>
      <c r="J6" s="6">
        <v>100.2</v>
      </c>
    </row>
    <row r="7" spans="1:10" x14ac:dyDescent="0.25">
      <c r="A7" s="3">
        <v>2</v>
      </c>
      <c r="B7" s="4" t="s">
        <v>14</v>
      </c>
      <c r="C7" s="6">
        <v>125.36195652173913</v>
      </c>
      <c r="D7" s="6">
        <v>185.18715596330276</v>
      </c>
      <c r="E7" s="6">
        <v>155.54545454545453</v>
      </c>
      <c r="F7" s="6">
        <v>63.49799999999999</v>
      </c>
      <c r="G7" s="6">
        <v>112.56158192090395</v>
      </c>
      <c r="H7" s="6">
        <v>111.63870967741936</v>
      </c>
      <c r="I7" s="6">
        <v>97.08</v>
      </c>
      <c r="J7" s="6">
        <v>193.5</v>
      </c>
    </row>
    <row r="8" spans="1:10" x14ac:dyDescent="0.25">
      <c r="A8" s="3">
        <v>3</v>
      </c>
      <c r="B8" s="4" t="s">
        <v>15</v>
      </c>
      <c r="C8" s="6">
        <v>104.71293478260871</v>
      </c>
      <c r="D8" s="6">
        <v>122.84060913705585</v>
      </c>
      <c r="E8" s="6">
        <v>71.96985294117647</v>
      </c>
      <c r="F8" s="6">
        <v>82.961463414634153</v>
      </c>
      <c r="G8" s="6">
        <v>79.545623188405784</v>
      </c>
      <c r="H8" s="6">
        <v>88.272366565961718</v>
      </c>
      <c r="I8" s="6">
        <v>87.234980694980692</v>
      </c>
      <c r="J8" s="6">
        <v>70.438445229681989</v>
      </c>
    </row>
    <row r="9" spans="1:10" x14ac:dyDescent="0.25">
      <c r="A9" s="3">
        <v>4</v>
      </c>
      <c r="B9" s="4" t="s">
        <v>16</v>
      </c>
      <c r="C9" s="6">
        <v>73.303773584905656</v>
      </c>
      <c r="D9" s="6">
        <v>128.48482972136222</v>
      </c>
      <c r="E9" s="6">
        <v>129.23594594594593</v>
      </c>
      <c r="F9" s="6">
        <v>110.55833333333332</v>
      </c>
      <c r="G9" s="6">
        <v>86.819897959183677</v>
      </c>
      <c r="H9" s="6">
        <v>88.262992125984255</v>
      </c>
      <c r="I9" s="6">
        <v>82.073333333333338</v>
      </c>
      <c r="J9" s="6">
        <v>113.08996402877698</v>
      </c>
    </row>
    <row r="10" spans="1:10" x14ac:dyDescent="0.25">
      <c r="A10" s="3">
        <v>5</v>
      </c>
      <c r="B10" s="4" t="s">
        <v>17</v>
      </c>
      <c r="C10" s="6">
        <v>50.58</v>
      </c>
      <c r="D10" s="6">
        <v>145.72762645914398</v>
      </c>
      <c r="E10" s="6">
        <v>171.26315789473685</v>
      </c>
      <c r="F10" s="6">
        <v>177.73170731707316</v>
      </c>
      <c r="G10" s="6">
        <v>100.46724890829694</v>
      </c>
      <c r="H10" s="6">
        <v>91.40384615384616</v>
      </c>
      <c r="I10" s="6">
        <v>97</v>
      </c>
      <c r="J10" s="6">
        <v>119</v>
      </c>
    </row>
    <row r="11" spans="1:10" x14ac:dyDescent="0.25">
      <c r="A11" s="5">
        <v>6</v>
      </c>
      <c r="B11" s="4" t="s">
        <v>32</v>
      </c>
      <c r="C11">
        <v>219</v>
      </c>
      <c r="D11">
        <v>221.3</v>
      </c>
      <c r="E11">
        <v>106.3</v>
      </c>
      <c r="F11" s="6">
        <v>74.3</v>
      </c>
      <c r="G11" s="6">
        <v>203</v>
      </c>
      <c r="H11" s="7">
        <v>0</v>
      </c>
      <c r="I11" s="7">
        <v>0</v>
      </c>
      <c r="J11" s="7">
        <v>0</v>
      </c>
    </row>
    <row r="12" spans="1:10" x14ac:dyDescent="0.25">
      <c r="B12" s="4" t="s">
        <v>18</v>
      </c>
      <c r="C12">
        <v>293</v>
      </c>
      <c r="D12">
        <v>277.39999999999998</v>
      </c>
      <c r="E12">
        <v>209.3</v>
      </c>
      <c r="F12" s="6">
        <v>281.89999999999998</v>
      </c>
      <c r="G12" s="6">
        <v>505.9</v>
      </c>
      <c r="H12" s="6">
        <v>275.39999999999998</v>
      </c>
      <c r="I12" s="6">
        <v>969</v>
      </c>
      <c r="J12" s="7">
        <v>0</v>
      </c>
    </row>
    <row r="13" spans="1:10" x14ac:dyDescent="0.25">
      <c r="A13" s="5"/>
      <c r="B13" s="4" t="s">
        <v>19</v>
      </c>
      <c r="C13" s="6">
        <v>357.34295774647887</v>
      </c>
      <c r="D13" s="6">
        <v>359.09779735682815</v>
      </c>
      <c r="E13" s="6">
        <v>417.32989690721649</v>
      </c>
      <c r="F13" s="6">
        <v>342.4083333333333</v>
      </c>
      <c r="G13" s="6">
        <v>127.03368421052632</v>
      </c>
      <c r="H13" s="6">
        <v>112.14309623430964</v>
      </c>
      <c r="I13" s="6">
        <v>103.20919540229885</v>
      </c>
      <c r="J13" s="6">
        <v>123</v>
      </c>
    </row>
    <row r="14" spans="1:10" x14ac:dyDescent="0.25">
      <c r="A14" s="3"/>
      <c r="B14" s="4" t="s">
        <v>20</v>
      </c>
      <c r="C14" s="6">
        <v>189.39668949771689</v>
      </c>
      <c r="D14" s="6">
        <v>587.03657718120803</v>
      </c>
      <c r="E14" s="6">
        <v>379.93807106598979</v>
      </c>
      <c r="F14" s="6">
        <v>328.20694444444445</v>
      </c>
      <c r="G14" s="6">
        <v>288.35724137931038</v>
      </c>
      <c r="H14" s="6">
        <v>109.10973451327435</v>
      </c>
      <c r="I14" s="6">
        <v>77.312654320987647</v>
      </c>
      <c r="J14" s="6">
        <v>56.4</v>
      </c>
    </row>
    <row r="15" spans="1:10" x14ac:dyDescent="0.25">
      <c r="A15" s="3"/>
      <c r="B15" s="4" t="s">
        <v>33</v>
      </c>
      <c r="C15" s="7">
        <v>0</v>
      </c>
      <c r="D15" s="7">
        <v>0</v>
      </c>
      <c r="E15" s="7">
        <v>0</v>
      </c>
      <c r="F15" s="7">
        <v>0</v>
      </c>
      <c r="G15" s="6">
        <v>15</v>
      </c>
      <c r="H15" s="6">
        <v>25</v>
      </c>
      <c r="I15" s="6">
        <v>27</v>
      </c>
      <c r="J15" s="6">
        <v>33</v>
      </c>
    </row>
    <row r="16" spans="1:10" x14ac:dyDescent="0.25">
      <c r="A16" s="3">
        <v>7</v>
      </c>
      <c r="B16" s="4" t="s">
        <v>21</v>
      </c>
      <c r="C16" s="6">
        <v>159.87269938650306</v>
      </c>
      <c r="D16" s="6">
        <v>145.89490740740743</v>
      </c>
      <c r="E16" s="6">
        <v>134.79545454545453</v>
      </c>
      <c r="F16" s="6">
        <v>115.32000000000001</v>
      </c>
      <c r="G16" s="6">
        <v>141.09381443298969</v>
      </c>
      <c r="H16" s="6">
        <v>127.33041095890411</v>
      </c>
      <c r="I16" s="6">
        <v>98.12</v>
      </c>
      <c r="J16" s="6">
        <v>97.040771604938271</v>
      </c>
    </row>
    <row r="17" spans="1:10" x14ac:dyDescent="0.25">
      <c r="A17" s="3">
        <v>8</v>
      </c>
      <c r="B17" s="4" t="s">
        <v>22</v>
      </c>
      <c r="C17" s="6">
        <v>182.80362318840579</v>
      </c>
      <c r="D17" s="6">
        <v>200.26688311688312</v>
      </c>
      <c r="E17" s="6">
        <v>104.36563291139241</v>
      </c>
      <c r="F17" s="6">
        <v>77.888125000000002</v>
      </c>
      <c r="G17" s="6">
        <v>71.410850202429145</v>
      </c>
      <c r="H17" s="6">
        <v>44.870810810810809</v>
      </c>
      <c r="I17" s="6">
        <v>57.9</v>
      </c>
      <c r="J17" s="6">
        <v>66.09628378378379</v>
      </c>
    </row>
    <row r="18" spans="1:10" x14ac:dyDescent="0.25">
      <c r="A18" s="3">
        <v>9</v>
      </c>
      <c r="B18" s="4" t="s">
        <v>23</v>
      </c>
      <c r="C18" s="6">
        <v>158.23448275862066</v>
      </c>
      <c r="D18" s="6">
        <v>364.04565217391303</v>
      </c>
      <c r="E18" s="6">
        <v>300.73846153846154</v>
      </c>
      <c r="F18" s="6">
        <v>156.54999999999998</v>
      </c>
      <c r="G18" s="6">
        <v>155.90740740740742</v>
      </c>
      <c r="H18" s="6">
        <v>136.74634146341464</v>
      </c>
      <c r="I18" s="6">
        <v>104.17142857142858</v>
      </c>
      <c r="J18" s="6">
        <v>27.75</v>
      </c>
    </row>
    <row r="19" spans="1:10" x14ac:dyDescent="0.25">
      <c r="A19" s="3">
        <v>11</v>
      </c>
      <c r="B19" s="4" t="s">
        <v>24</v>
      </c>
      <c r="C19" s="6">
        <v>61.602439024390236</v>
      </c>
      <c r="D19" s="6">
        <v>237.1605263157895</v>
      </c>
      <c r="E19" s="6">
        <v>65.65454545454547</v>
      </c>
      <c r="F19" s="6">
        <v>123.66</v>
      </c>
      <c r="G19" s="6">
        <v>83.8</v>
      </c>
      <c r="H19" s="6">
        <v>73.739024390243912</v>
      </c>
      <c r="I19" s="6">
        <v>46.6</v>
      </c>
      <c r="J19" s="6">
        <v>60.903278688524587</v>
      </c>
    </row>
    <row r="20" spans="1:10" x14ac:dyDescent="0.25">
      <c r="B20" s="4" t="s">
        <v>25</v>
      </c>
      <c r="C20" s="7">
        <v>0</v>
      </c>
      <c r="D20">
        <v>0</v>
      </c>
      <c r="E20">
        <v>0</v>
      </c>
      <c r="F20" s="7">
        <v>0</v>
      </c>
      <c r="G20" s="7">
        <v>0</v>
      </c>
      <c r="H20" s="7">
        <v>0</v>
      </c>
      <c r="I20" s="6">
        <v>116.2</v>
      </c>
      <c r="J20" s="6">
        <v>0</v>
      </c>
    </row>
    <row r="21" spans="1:10" x14ac:dyDescent="0.25">
      <c r="A21" s="3">
        <v>12</v>
      </c>
      <c r="B21" s="4" t="s">
        <v>26</v>
      </c>
      <c r="C21" s="6">
        <v>190.72361623616234</v>
      </c>
      <c r="D21" s="6">
        <v>173.14472049689442</v>
      </c>
      <c r="E21" s="6">
        <v>64.177022471910107</v>
      </c>
      <c r="F21" s="6">
        <v>69.305454545454538</v>
      </c>
      <c r="G21" s="6">
        <v>53.765204819277109</v>
      </c>
      <c r="H21" s="6">
        <v>63.502300884955751</v>
      </c>
      <c r="I21" s="6">
        <v>91.178440366972481</v>
      </c>
      <c r="J21" s="6">
        <v>118.60000000000001</v>
      </c>
    </row>
    <row r="22" spans="1:10" x14ac:dyDescent="0.25">
      <c r="A22" s="3">
        <v>13</v>
      </c>
      <c r="B22" s="4" t="s">
        <v>27</v>
      </c>
      <c r="C22" s="6">
        <v>71.528380952380942</v>
      </c>
      <c r="D22" s="6">
        <v>244.1178770949721</v>
      </c>
      <c r="E22" s="6">
        <v>266.05714285714288</v>
      </c>
      <c r="F22" s="6">
        <v>196.34925000000001</v>
      </c>
      <c r="G22" s="6">
        <v>205.4417721518987</v>
      </c>
      <c r="H22" s="6">
        <v>135.85617977528091</v>
      </c>
      <c r="I22" s="6">
        <v>141.69999999999999</v>
      </c>
      <c r="J22" s="6">
        <v>71.13</v>
      </c>
    </row>
    <row r="23" spans="1:10" x14ac:dyDescent="0.25">
      <c r="A23" s="3">
        <v>14</v>
      </c>
      <c r="B23" s="4" t="s">
        <v>28</v>
      </c>
      <c r="C23" s="6">
        <v>168.39187192118226</v>
      </c>
      <c r="D23" s="6">
        <v>214.97758081334726</v>
      </c>
      <c r="E23" s="6">
        <v>183.43015873015875</v>
      </c>
      <c r="F23" s="6">
        <v>121.62</v>
      </c>
      <c r="G23" s="6">
        <v>57.434618181818173</v>
      </c>
      <c r="H23" s="6">
        <v>56.744424778761072</v>
      </c>
      <c r="I23" s="6">
        <v>57.400554016620504</v>
      </c>
      <c r="J23" s="6">
        <v>69.063464837049736</v>
      </c>
    </row>
    <row r="24" spans="1:10" x14ac:dyDescent="0.25">
      <c r="A24" s="3">
        <v>15</v>
      </c>
      <c r="B24" s="4" t="s">
        <v>29</v>
      </c>
      <c r="C24" s="6">
        <v>138.41392405063291</v>
      </c>
      <c r="D24" s="6">
        <v>174.09941860465116</v>
      </c>
      <c r="E24" s="6">
        <v>129.32340425531913</v>
      </c>
      <c r="F24" s="6">
        <v>145.20166666666668</v>
      </c>
      <c r="G24" s="6">
        <v>162.9831081081081</v>
      </c>
      <c r="H24" s="6">
        <v>133.4326254826255</v>
      </c>
      <c r="I24" s="6">
        <v>140.08695652173913</v>
      </c>
      <c r="J24" s="6">
        <v>156.19999999999999</v>
      </c>
    </row>
    <row r="25" spans="1:10" x14ac:dyDescent="0.25">
      <c r="A25" s="3">
        <v>16</v>
      </c>
      <c r="B25" s="4" t="s">
        <v>30</v>
      </c>
      <c r="C25" s="6">
        <v>157.31323863636365</v>
      </c>
      <c r="D25" s="6">
        <v>365.46801351351354</v>
      </c>
      <c r="E25" s="6">
        <v>349.03468208092488</v>
      </c>
      <c r="F25" s="6">
        <v>315.47826086956519</v>
      </c>
      <c r="G25" s="6">
        <v>202.82669322709162</v>
      </c>
      <c r="H25" s="6">
        <v>197.70909090909092</v>
      </c>
      <c r="I25" s="6">
        <v>123</v>
      </c>
      <c r="J25" s="6">
        <v>117</v>
      </c>
    </row>
    <row r="26" spans="1:10" x14ac:dyDescent="0.25">
      <c r="A26" s="1"/>
      <c r="B26" s="4" t="s">
        <v>40</v>
      </c>
      <c r="C26">
        <v>188</v>
      </c>
      <c r="D26" s="6">
        <v>284</v>
      </c>
      <c r="E26" s="6">
        <v>26.79</v>
      </c>
      <c r="F26" s="6">
        <v>22.56</v>
      </c>
      <c r="G26" s="6">
        <v>28.1</v>
      </c>
      <c r="H26" s="6">
        <v>25.800000000000004</v>
      </c>
      <c r="I26" s="6">
        <v>38.700000000000003</v>
      </c>
      <c r="J26" s="6">
        <v>50.89</v>
      </c>
    </row>
    <row r="27" spans="1:10" x14ac:dyDescent="0.25">
      <c r="A27" t="s">
        <v>31</v>
      </c>
    </row>
    <row r="29" spans="1:10" x14ac:dyDescent="0.25">
      <c r="A29" s="4"/>
    </row>
    <row r="30" spans="1:10" x14ac:dyDescent="0.25">
      <c r="A30" s="4"/>
    </row>
    <row r="34" spans="1:2" x14ac:dyDescent="0.25">
      <c r="A34" s="3"/>
      <c r="B34" s="4"/>
    </row>
    <row r="35" spans="1:2" x14ac:dyDescent="0.25">
      <c r="A35" s="3"/>
      <c r="B35" s="4"/>
    </row>
    <row r="36" spans="1:2" x14ac:dyDescent="0.25">
      <c r="A36" s="3"/>
      <c r="B36" s="4"/>
    </row>
    <row r="37" spans="1:2" x14ac:dyDescent="0.25">
      <c r="A37" s="3"/>
      <c r="B37" s="4"/>
    </row>
    <row r="38" spans="1:2" x14ac:dyDescent="0.25">
      <c r="A38" s="5"/>
      <c r="B38" s="4"/>
    </row>
    <row r="39" spans="1:2" x14ac:dyDescent="0.25">
      <c r="A39" s="5"/>
      <c r="B39" s="4"/>
    </row>
    <row r="40" spans="1:2" x14ac:dyDescent="0.25">
      <c r="A40" s="5"/>
      <c r="B40" s="4"/>
    </row>
    <row r="41" spans="1:2" x14ac:dyDescent="0.25">
      <c r="A41" s="3"/>
      <c r="B41" s="4"/>
    </row>
    <row r="42" spans="1:2" x14ac:dyDescent="0.25">
      <c r="A42" s="3"/>
      <c r="B42" s="4"/>
    </row>
    <row r="43" spans="1:2" x14ac:dyDescent="0.25">
      <c r="A43" s="3"/>
      <c r="B43" s="4"/>
    </row>
    <row r="44" spans="1:2" x14ac:dyDescent="0.25">
      <c r="A44" s="3"/>
      <c r="B44" s="4"/>
    </row>
    <row r="45" spans="1:2" x14ac:dyDescent="0.25">
      <c r="A45" s="3"/>
      <c r="B45" s="4"/>
    </row>
    <row r="46" spans="1:2" x14ac:dyDescent="0.25">
      <c r="A46" s="3"/>
      <c r="B46" s="4"/>
    </row>
    <row r="47" spans="1:2" x14ac:dyDescent="0.25">
      <c r="A47" s="3"/>
      <c r="B47" s="4"/>
    </row>
    <row r="48" spans="1:2" x14ac:dyDescent="0.25">
      <c r="A48" s="3"/>
      <c r="B48" s="4"/>
    </row>
    <row r="49" spans="1:2" x14ac:dyDescent="0.25">
      <c r="A49" s="3"/>
      <c r="B49" s="4"/>
    </row>
    <row r="50" spans="1:2" x14ac:dyDescent="0.25">
      <c r="A50" s="3"/>
      <c r="B50" s="4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636A1-11EE-49FE-8CC1-43ED09653A7C}">
  <dimension ref="A1:K50"/>
  <sheetViews>
    <sheetView workbookViewId="0">
      <selection activeCell="C2" sqref="C2"/>
    </sheetView>
  </sheetViews>
  <sheetFormatPr baseColWidth="10" defaultRowHeight="15" x14ac:dyDescent="0.25"/>
  <cols>
    <col min="2" max="2" width="49.28515625" customWidth="1"/>
    <col min="10" max="10" width="13.5703125" customWidth="1"/>
  </cols>
  <sheetData>
    <row r="1" spans="1:11" x14ac:dyDescent="0.25">
      <c r="A1" s="9" t="s">
        <v>45</v>
      </c>
      <c r="B1" s="10"/>
      <c r="C1" s="10"/>
      <c r="D1" s="10"/>
      <c r="E1" s="10"/>
      <c r="F1" s="10"/>
      <c r="G1" s="10"/>
      <c r="H1" s="10"/>
      <c r="I1" s="10"/>
      <c r="J1" s="11"/>
    </row>
    <row r="3" spans="1:11" x14ac:dyDescent="0.25">
      <c r="A3" s="4"/>
    </row>
    <row r="5" spans="1:11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</row>
    <row r="6" spans="1:11" x14ac:dyDescent="0.25">
      <c r="A6" s="3">
        <v>1</v>
      </c>
      <c r="B6" s="4" t="s">
        <v>13</v>
      </c>
      <c r="C6">
        <f>12+1</f>
        <v>13</v>
      </c>
      <c r="D6">
        <f>1+9</f>
        <v>10</v>
      </c>
      <c r="E6">
        <f>11+11</f>
        <v>22</v>
      </c>
      <c r="F6">
        <v>4</v>
      </c>
      <c r="G6">
        <v>2</v>
      </c>
      <c r="H6">
        <v>2</v>
      </c>
      <c r="I6">
        <v>2</v>
      </c>
      <c r="J6">
        <v>0</v>
      </c>
      <c r="K6" s="4">
        <f>SUM(C6:J6)</f>
        <v>55</v>
      </c>
    </row>
    <row r="7" spans="1:11" x14ac:dyDescent="0.25">
      <c r="A7" s="3">
        <v>2</v>
      </c>
      <c r="B7" s="4" t="s">
        <v>14</v>
      </c>
      <c r="C7">
        <f>6+7</f>
        <v>13</v>
      </c>
      <c r="D7">
        <f>3+6</f>
        <v>9</v>
      </c>
      <c r="E7">
        <v>8</v>
      </c>
      <c r="F7">
        <v>8</v>
      </c>
      <c r="G7">
        <v>10</v>
      </c>
      <c r="H7">
        <v>1</v>
      </c>
      <c r="I7">
        <v>0</v>
      </c>
      <c r="J7">
        <v>0</v>
      </c>
      <c r="K7" s="4">
        <f t="shared" ref="K7:K23" si="0">SUM(C7:J7)</f>
        <v>49</v>
      </c>
    </row>
    <row r="8" spans="1:11" x14ac:dyDescent="0.25">
      <c r="A8" s="3">
        <v>3</v>
      </c>
      <c r="B8" s="4" t="s">
        <v>15</v>
      </c>
      <c r="C8">
        <v>13</v>
      </c>
      <c r="D8">
        <f>36+34</f>
        <v>70</v>
      </c>
      <c r="E8">
        <f>6+13</f>
        <v>19</v>
      </c>
      <c r="F8">
        <f>14+7</f>
        <v>21</v>
      </c>
      <c r="G8">
        <f>24+4</f>
        <v>28</v>
      </c>
      <c r="H8">
        <v>26</v>
      </c>
      <c r="I8">
        <v>4</v>
      </c>
      <c r="J8">
        <v>3</v>
      </c>
      <c r="K8" s="4">
        <f t="shared" si="0"/>
        <v>184</v>
      </c>
    </row>
    <row r="9" spans="1:11" x14ac:dyDescent="0.25">
      <c r="A9" s="3">
        <v>4</v>
      </c>
      <c r="B9" s="4" t="s">
        <v>16</v>
      </c>
      <c r="C9">
        <v>10</v>
      </c>
      <c r="D9">
        <f>9+31</f>
        <v>40</v>
      </c>
      <c r="E9">
        <f>15+24</f>
        <v>39</v>
      </c>
      <c r="F9">
        <f>14+12</f>
        <v>26</v>
      </c>
      <c r="G9">
        <v>15</v>
      </c>
      <c r="H9">
        <v>10</v>
      </c>
      <c r="I9">
        <v>9</v>
      </c>
      <c r="J9">
        <v>3</v>
      </c>
      <c r="K9" s="4">
        <f t="shared" si="0"/>
        <v>152</v>
      </c>
    </row>
    <row r="10" spans="1:11" x14ac:dyDescent="0.25">
      <c r="A10" s="3">
        <v>5</v>
      </c>
      <c r="B10" s="4" t="s">
        <v>17</v>
      </c>
      <c r="C10">
        <v>4</v>
      </c>
      <c r="D10">
        <f>9+57</f>
        <v>66</v>
      </c>
      <c r="E10">
        <f>10+22</f>
        <v>32</v>
      </c>
      <c r="F10">
        <f>9+10</f>
        <v>19</v>
      </c>
      <c r="G10">
        <f>14+8</f>
        <v>22</v>
      </c>
      <c r="H10">
        <v>6</v>
      </c>
      <c r="K10" s="4">
        <f t="shared" si="0"/>
        <v>149</v>
      </c>
    </row>
    <row r="11" spans="1:11" x14ac:dyDescent="0.25">
      <c r="A11" s="5">
        <v>6</v>
      </c>
      <c r="B11" s="4" t="s">
        <v>18</v>
      </c>
      <c r="C11">
        <f>20+90</f>
        <v>110</v>
      </c>
      <c r="D11">
        <f>20+90</f>
        <v>110</v>
      </c>
      <c r="E11">
        <f>10+29</f>
        <v>39</v>
      </c>
      <c r="F11">
        <f>6+19</f>
        <v>25</v>
      </c>
      <c r="G11">
        <f>19+12</f>
        <v>31</v>
      </c>
      <c r="H11">
        <v>5</v>
      </c>
      <c r="I11">
        <v>0</v>
      </c>
      <c r="J11">
        <v>0</v>
      </c>
      <c r="K11" s="4">
        <f t="shared" si="0"/>
        <v>320</v>
      </c>
    </row>
    <row r="12" spans="1:11" x14ac:dyDescent="0.25">
      <c r="A12" s="5"/>
      <c r="B12" s="4" t="s">
        <v>19</v>
      </c>
      <c r="C12">
        <f>14+27</f>
        <v>41</v>
      </c>
      <c r="D12">
        <f>43+229</f>
        <v>272</v>
      </c>
      <c r="E12">
        <f>42+84</f>
        <v>126</v>
      </c>
      <c r="F12">
        <f>14+30</f>
        <v>44</v>
      </c>
      <c r="G12">
        <f>18+22</f>
        <v>40</v>
      </c>
      <c r="H12">
        <v>12</v>
      </c>
      <c r="I12">
        <v>3</v>
      </c>
      <c r="J12">
        <v>0</v>
      </c>
      <c r="K12" s="4">
        <f t="shared" si="0"/>
        <v>538</v>
      </c>
    </row>
    <row r="13" spans="1:11" x14ac:dyDescent="0.25">
      <c r="A13" s="3"/>
      <c r="B13" s="4" t="s">
        <v>20</v>
      </c>
      <c r="C13">
        <f>87+364</f>
        <v>451</v>
      </c>
      <c r="D13">
        <f>29+360</f>
        <v>389</v>
      </c>
      <c r="E13">
        <f>24+103</f>
        <v>127</v>
      </c>
      <c r="F13">
        <f>28+58</f>
        <v>86</v>
      </c>
      <c r="G13">
        <f>77+85</f>
        <v>162</v>
      </c>
      <c r="H13">
        <f>23+5</f>
        <v>28</v>
      </c>
      <c r="I13">
        <v>4</v>
      </c>
      <c r="J13">
        <v>0</v>
      </c>
      <c r="K13" s="4">
        <f t="shared" si="0"/>
        <v>1247</v>
      </c>
    </row>
    <row r="14" spans="1:11" x14ac:dyDescent="0.25">
      <c r="A14" s="3">
        <v>7</v>
      </c>
      <c r="B14" s="4" t="s">
        <v>21</v>
      </c>
      <c r="C14">
        <f>8+21</f>
        <v>29</v>
      </c>
      <c r="D14">
        <f>25+102</f>
        <v>127</v>
      </c>
      <c r="E14">
        <f>13+23</f>
        <v>36</v>
      </c>
      <c r="F14">
        <f>11+12</f>
        <v>23</v>
      </c>
      <c r="G14">
        <f>26+19</f>
        <v>45</v>
      </c>
      <c r="H14">
        <v>13</v>
      </c>
      <c r="I14">
        <v>1</v>
      </c>
      <c r="K14" s="4">
        <f t="shared" si="0"/>
        <v>274</v>
      </c>
    </row>
    <row r="15" spans="1:11" x14ac:dyDescent="0.25">
      <c r="A15" s="3">
        <v>8</v>
      </c>
      <c r="B15" s="4" t="s">
        <v>22</v>
      </c>
      <c r="C15">
        <f>7+18</f>
        <v>25</v>
      </c>
      <c r="D15">
        <f>8+37</f>
        <v>45</v>
      </c>
      <c r="E15">
        <f>4+25</f>
        <v>29</v>
      </c>
      <c r="F15">
        <v>5</v>
      </c>
      <c r="G15">
        <f>7+11</f>
        <v>18</v>
      </c>
      <c r="H15">
        <v>2</v>
      </c>
      <c r="I15">
        <v>0</v>
      </c>
      <c r="J15">
        <v>0</v>
      </c>
      <c r="K15" s="4">
        <f t="shared" si="0"/>
        <v>124</v>
      </c>
    </row>
    <row r="16" spans="1:11" x14ac:dyDescent="0.25">
      <c r="A16" s="3">
        <v>9</v>
      </c>
      <c r="B16" s="4" t="s">
        <v>23</v>
      </c>
      <c r="C16">
        <f>9+3</f>
        <v>12</v>
      </c>
      <c r="D16">
        <f>13+24</f>
        <v>37</v>
      </c>
      <c r="E16">
        <v>21</v>
      </c>
      <c r="F16">
        <v>3</v>
      </c>
      <c r="G16">
        <v>7</v>
      </c>
      <c r="H16">
        <v>3</v>
      </c>
      <c r="I16">
        <v>0</v>
      </c>
      <c r="J16">
        <v>1</v>
      </c>
      <c r="K16" s="4">
        <f t="shared" si="0"/>
        <v>84</v>
      </c>
    </row>
    <row r="17" spans="1:11" x14ac:dyDescent="0.25">
      <c r="A17" s="5">
        <v>11</v>
      </c>
      <c r="B17" s="4" t="s">
        <v>24</v>
      </c>
      <c r="C17">
        <v>4</v>
      </c>
      <c r="D17">
        <v>7</v>
      </c>
      <c r="E17">
        <v>10</v>
      </c>
      <c r="F17">
        <v>4</v>
      </c>
      <c r="G17">
        <v>6</v>
      </c>
      <c r="H17">
        <v>2</v>
      </c>
      <c r="I17">
        <v>1</v>
      </c>
      <c r="J17">
        <v>1</v>
      </c>
      <c r="K17" s="4">
        <f t="shared" si="0"/>
        <v>35</v>
      </c>
    </row>
    <row r="18" spans="1:11" x14ac:dyDescent="0.25">
      <c r="A18" s="3"/>
      <c r="B18" s="4" t="s">
        <v>25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 s="4">
        <f t="shared" si="0"/>
        <v>0</v>
      </c>
    </row>
    <row r="19" spans="1:11" x14ac:dyDescent="0.25">
      <c r="A19" s="3">
        <v>12</v>
      </c>
      <c r="B19" s="4" t="s">
        <v>26</v>
      </c>
      <c r="C19">
        <f>8+12</f>
        <v>20</v>
      </c>
      <c r="D19">
        <f>15+75</f>
        <v>90</v>
      </c>
      <c r="E19">
        <f>14+23</f>
        <v>37</v>
      </c>
      <c r="F19">
        <f>19+14</f>
        <v>33</v>
      </c>
      <c r="G19">
        <f>23+14</f>
        <v>37</v>
      </c>
      <c r="H19">
        <v>16</v>
      </c>
      <c r="I19">
        <v>5</v>
      </c>
      <c r="J19">
        <v>2</v>
      </c>
      <c r="K19" s="4">
        <f t="shared" si="0"/>
        <v>240</v>
      </c>
    </row>
    <row r="20" spans="1:11" x14ac:dyDescent="0.25">
      <c r="A20" s="3">
        <v>13</v>
      </c>
      <c r="B20" s="4" t="s">
        <v>27</v>
      </c>
      <c r="C20">
        <f>10+23</f>
        <v>33</v>
      </c>
      <c r="D20">
        <f>10+62</f>
        <v>72</v>
      </c>
      <c r="E20">
        <f>9+21</f>
        <v>30</v>
      </c>
      <c r="F20">
        <f>14+15</f>
        <v>29</v>
      </c>
      <c r="G20">
        <f>18+6</f>
        <v>24</v>
      </c>
      <c r="H20">
        <v>9</v>
      </c>
      <c r="I20">
        <v>4</v>
      </c>
      <c r="J20">
        <v>0</v>
      </c>
      <c r="K20" s="4">
        <f t="shared" si="0"/>
        <v>201</v>
      </c>
    </row>
    <row r="21" spans="1:11" x14ac:dyDescent="0.25">
      <c r="A21" s="3">
        <v>14</v>
      </c>
      <c r="B21" s="4" t="s">
        <v>28</v>
      </c>
      <c r="C21">
        <f>9+14</f>
        <v>23</v>
      </c>
      <c r="D21">
        <f>19+122</f>
        <v>141</v>
      </c>
      <c r="E21">
        <f>19+66</f>
        <v>85</v>
      </c>
      <c r="F21">
        <f>9+17</f>
        <v>26</v>
      </c>
      <c r="G21">
        <f>10+13</f>
        <v>23</v>
      </c>
      <c r="H21">
        <v>3</v>
      </c>
      <c r="I21">
        <v>0</v>
      </c>
      <c r="J21">
        <v>0</v>
      </c>
      <c r="K21" s="4">
        <f t="shared" si="0"/>
        <v>301</v>
      </c>
    </row>
    <row r="22" spans="1:11" x14ac:dyDescent="0.25">
      <c r="A22" s="3">
        <v>15</v>
      </c>
      <c r="B22" s="4" t="s">
        <v>29</v>
      </c>
      <c r="C22">
        <f>8+8</f>
        <v>16</v>
      </c>
      <c r="D22">
        <f>3+44</f>
        <v>47</v>
      </c>
      <c r="E22">
        <f>3+17</f>
        <v>20</v>
      </c>
      <c r="F22">
        <f>11+6</f>
        <v>17</v>
      </c>
      <c r="G22">
        <f>11+12</f>
        <v>23</v>
      </c>
      <c r="H22">
        <v>3</v>
      </c>
      <c r="I22">
        <v>1</v>
      </c>
      <c r="J22">
        <v>0</v>
      </c>
      <c r="K22" s="4">
        <f t="shared" si="0"/>
        <v>127</v>
      </c>
    </row>
    <row r="23" spans="1:11" x14ac:dyDescent="0.25">
      <c r="A23" s="3">
        <v>16</v>
      </c>
      <c r="B23" s="4" t="s">
        <v>30</v>
      </c>
      <c r="C23">
        <f>6+119</f>
        <v>125</v>
      </c>
      <c r="D23">
        <f>25+592</f>
        <v>617</v>
      </c>
      <c r="E23">
        <f>20+190</f>
        <v>210</v>
      </c>
      <c r="F23">
        <f>16+34</f>
        <v>50</v>
      </c>
      <c r="G23">
        <f>52+29</f>
        <v>81</v>
      </c>
      <c r="H23">
        <f>31+6</f>
        <v>37</v>
      </c>
      <c r="I23">
        <v>3</v>
      </c>
      <c r="J23">
        <v>1</v>
      </c>
      <c r="K23" s="4">
        <f t="shared" si="0"/>
        <v>1124</v>
      </c>
    </row>
    <row r="24" spans="1:11" x14ac:dyDescent="0.25">
      <c r="B24" s="2" t="s">
        <v>12</v>
      </c>
      <c r="C24" s="4">
        <f>SUM(C6:C23)</f>
        <v>942</v>
      </c>
      <c r="D24" s="4">
        <f t="shared" ref="D24:K24" si="1">SUM(D6:D23)</f>
        <v>2149</v>
      </c>
      <c r="E24" s="4">
        <f t="shared" si="1"/>
        <v>890</v>
      </c>
      <c r="F24" s="4">
        <f t="shared" si="1"/>
        <v>423</v>
      </c>
      <c r="G24" s="4">
        <f t="shared" si="1"/>
        <v>574</v>
      </c>
      <c r="H24" s="4">
        <f t="shared" si="1"/>
        <v>178</v>
      </c>
      <c r="I24" s="4">
        <f t="shared" si="1"/>
        <v>37</v>
      </c>
      <c r="J24" s="4">
        <f t="shared" si="1"/>
        <v>11</v>
      </c>
      <c r="K24" s="4">
        <f t="shared" si="1"/>
        <v>5204</v>
      </c>
    </row>
    <row r="26" spans="1:11" x14ac:dyDescent="0.25">
      <c r="A26" t="s">
        <v>31</v>
      </c>
    </row>
    <row r="28" spans="1:11" x14ac:dyDescent="0.25">
      <c r="A28" s="4"/>
    </row>
    <row r="31" spans="1:11" x14ac:dyDescent="0.25">
      <c r="A31" s="3"/>
      <c r="B31" s="4"/>
    </row>
    <row r="32" spans="1:11" x14ac:dyDescent="0.25">
      <c r="A32" s="3"/>
      <c r="B32" s="4"/>
    </row>
    <row r="33" spans="1:2" x14ac:dyDescent="0.25">
      <c r="A33" s="3"/>
      <c r="B33" s="4"/>
    </row>
    <row r="34" spans="1:2" x14ac:dyDescent="0.25">
      <c r="A34" s="3"/>
      <c r="B34" s="4"/>
    </row>
    <row r="35" spans="1:2" x14ac:dyDescent="0.25">
      <c r="A35" s="3"/>
      <c r="B35" s="4"/>
    </row>
    <row r="36" spans="1:2" x14ac:dyDescent="0.25">
      <c r="A36" s="5"/>
      <c r="B36" s="4"/>
    </row>
    <row r="37" spans="1:2" x14ac:dyDescent="0.25">
      <c r="A37" s="5"/>
      <c r="B37" s="4"/>
    </row>
    <row r="38" spans="1:2" x14ac:dyDescent="0.25">
      <c r="A38" s="3"/>
      <c r="B38" s="4"/>
    </row>
    <row r="39" spans="1:2" x14ac:dyDescent="0.25">
      <c r="A39" s="3"/>
      <c r="B39" s="4"/>
    </row>
    <row r="40" spans="1:2" x14ac:dyDescent="0.25">
      <c r="A40" s="3"/>
      <c r="B40" s="4"/>
    </row>
    <row r="41" spans="1:2" x14ac:dyDescent="0.25">
      <c r="A41" s="3"/>
      <c r="B41" s="4"/>
    </row>
    <row r="42" spans="1:2" x14ac:dyDescent="0.25">
      <c r="A42" s="5"/>
      <c r="B42" s="4"/>
    </row>
    <row r="43" spans="1:2" x14ac:dyDescent="0.25">
      <c r="A43" s="3"/>
      <c r="B43" s="4"/>
    </row>
    <row r="44" spans="1:2" x14ac:dyDescent="0.25">
      <c r="A44" s="3"/>
      <c r="B44" s="4"/>
    </row>
    <row r="45" spans="1:2" x14ac:dyDescent="0.25">
      <c r="A45" s="3"/>
      <c r="B45" s="4"/>
    </row>
    <row r="46" spans="1:2" x14ac:dyDescent="0.25">
      <c r="A46" s="3"/>
      <c r="B46" s="4"/>
    </row>
    <row r="47" spans="1:2" x14ac:dyDescent="0.25">
      <c r="A47" s="3"/>
      <c r="B47" s="4"/>
    </row>
    <row r="48" spans="1:2" x14ac:dyDescent="0.25">
      <c r="A48" s="3"/>
      <c r="B48" s="4"/>
    </row>
    <row r="49" spans="1:1" x14ac:dyDescent="0.25">
      <c r="A49" s="1"/>
    </row>
    <row r="50" spans="1:1" x14ac:dyDescent="0.25">
      <c r="A50" s="1"/>
    </row>
  </sheetData>
  <mergeCells count="1">
    <mergeCell ref="A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Q1 Nbr de pers en att. éval</vt:lpstr>
      <vt:lpstr>Q2 Temps d'att. moyen</vt:lpstr>
      <vt:lpstr>Q3 Nbr pers. att. serv.1ère TSA</vt:lpstr>
      <vt:lpstr>Q4 Temps d'att. 1ère TSA</vt:lpstr>
      <vt:lpstr>Q5 Nbr pers. att. 2ième TSA</vt:lpstr>
      <vt:lpstr>Q6 Temps d'att. 2ième TSA</vt:lpstr>
      <vt:lpstr>Q7 Nbr pers. att. serv. DITSADP</vt:lpstr>
      <vt:lpstr>Q8 Temps att. serv. DITSADP</vt:lpstr>
      <vt:lpstr>Q9 Nbr pers. en att. CRDITED</vt:lpstr>
      <vt:lpstr>Q10 Temps att. CRDITED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Lisa-Marie Rannou</dc:creator>
  <cp:lastModifiedBy>Maria Magdalena Gurau</cp:lastModifiedBy>
  <dcterms:created xsi:type="dcterms:W3CDTF">2021-08-24T15:10:10Z</dcterms:created>
  <dcterms:modified xsi:type="dcterms:W3CDTF">2021-10-08T15:17:27Z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7d8d5d-78e2-4a62-9fcd-016eb5e4c57c_Enabled">
    <vt:lpwstr>true</vt:lpwstr>
  </property>
  <property fmtid="{D5CDD505-2E9C-101B-9397-08002B2CF9AE}" pid="3" name="MSIP_Label_6a7d8d5d-78e2-4a62-9fcd-016eb5e4c57c_SetDate">
    <vt:lpwstr>2021-08-24T15:10:10Z</vt:lpwstr>
  </property>
  <property fmtid="{D5CDD505-2E9C-101B-9397-08002B2CF9AE}" pid="4" name="MSIP_Label_6a7d8d5d-78e2-4a62-9fcd-016eb5e4c57c_Method">
    <vt:lpwstr>Standard</vt:lpwstr>
  </property>
  <property fmtid="{D5CDD505-2E9C-101B-9397-08002B2CF9AE}" pid="5" name="MSIP_Label_6a7d8d5d-78e2-4a62-9fcd-016eb5e4c57c_Name">
    <vt:lpwstr>Général</vt:lpwstr>
  </property>
  <property fmtid="{D5CDD505-2E9C-101B-9397-08002B2CF9AE}" pid="6" name="MSIP_Label_6a7d8d5d-78e2-4a62-9fcd-016eb5e4c57c_SiteId">
    <vt:lpwstr>06e1fe28-5f8b-4075-bf6c-ae24be1a7992</vt:lpwstr>
  </property>
  <property fmtid="{D5CDD505-2E9C-101B-9397-08002B2CF9AE}" pid="7" name="MSIP_Label_6a7d8d5d-78e2-4a62-9fcd-016eb5e4c57c_ActionId">
    <vt:lpwstr>2190155a-27de-407e-a3f8-8b114886391a</vt:lpwstr>
  </property>
  <property fmtid="{D5CDD505-2E9C-101B-9397-08002B2CF9AE}" pid="8" name="MSIP_Label_6a7d8d5d-78e2-4a62-9fcd-016eb5e4c57c_ContentBits">
    <vt:lpwstr>0</vt:lpwstr>
  </property>
</Properties>
</file>